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945" yWindow="-15" windowWidth="6270" windowHeight="5700" tabRatio="854" activeTab="12"/>
  </bookViews>
  <sheets>
    <sheet name="O&amp;M calc-LED Exit Sign" sheetId="36" r:id="rId1"/>
    <sheet name="O&amp;M calc-Delamping" sheetId="39" r:id="rId2"/>
    <sheet name="O&amp;M calc-LED Otdr Pole Arm" sheetId="40" r:id="rId3"/>
    <sheet name="O&amp;M calc-LED High-Bay" sheetId="41" r:id="rId4"/>
    <sheet name="O&amp;M calc-LED 1x4, 2x2, 2x4" sheetId="42" r:id="rId5"/>
    <sheet name="O&amp;M calc-LED Canopy" sheetId="43" r:id="rId6"/>
    <sheet name="O&amp;M calc-LED Prkng Garage" sheetId="44" r:id="rId7"/>
    <sheet name="O&amp;M calc-ES SSL, Unknown" sheetId="46" r:id="rId8"/>
    <sheet name="O&amp;M calc-ES SSL, Globe" sheetId="47" r:id="rId9"/>
    <sheet name="O&amp;M calc-ES SSL, Reflector" sheetId="48" r:id="rId10"/>
    <sheet name="O&amp;M calc-ES SSL, A Lamp" sheetId="49" r:id="rId11"/>
    <sheet name="O&amp;M calc-ES SSL, Candelabra" sheetId="50" r:id="rId12"/>
    <sheet name="O&amp;M calc-LED Ref Case" sheetId="45" r:id="rId13"/>
    <sheet name="M-A Labor Costs" sheetId="38" r:id="rId14"/>
    <sheet name="O&amp;M calc - TEMPLATE" sheetId="27" r:id="rId15"/>
    <sheet name="Calculation Details" sheetId="20" r:id="rId16"/>
  </sheets>
  <calcPr calcId="145621" concurrentCalc="0"/>
</workbook>
</file>

<file path=xl/calcChain.xml><?xml version="1.0" encoding="utf-8"?>
<calcChain xmlns="http://schemas.openxmlformats.org/spreadsheetml/2006/main">
  <c r="G14" i="45" l="1"/>
  <c r="E14" i="45"/>
  <c r="G14" i="50"/>
  <c r="G14" i="49"/>
  <c r="G14" i="48"/>
  <c r="G14" i="47"/>
  <c r="G14" i="46"/>
  <c r="E45" i="42"/>
  <c r="E40" i="42"/>
  <c r="E14" i="42"/>
  <c r="K40" i="50"/>
  <c r="H40" i="50"/>
  <c r="K41" i="50"/>
  <c r="H41" i="50"/>
  <c r="H45" i="50"/>
  <c r="H46" i="50"/>
  <c r="H50" i="50"/>
  <c r="H51" i="50"/>
  <c r="H55" i="50"/>
  <c r="E14" i="50"/>
  <c r="C10" i="50"/>
  <c r="H14" i="50"/>
  <c r="H15" i="50"/>
  <c r="H19" i="50"/>
  <c r="H20" i="50"/>
  <c r="H24" i="50"/>
  <c r="K40" i="49"/>
  <c r="H40" i="49"/>
  <c r="K41" i="49"/>
  <c r="H41" i="49"/>
  <c r="H45" i="49"/>
  <c r="H46" i="49"/>
  <c r="H50" i="49"/>
  <c r="H51" i="49"/>
  <c r="H55" i="49"/>
  <c r="E14" i="49"/>
  <c r="C10" i="49"/>
  <c r="H14" i="49"/>
  <c r="H15" i="49"/>
  <c r="H19" i="49"/>
  <c r="H20" i="49"/>
  <c r="H24" i="49"/>
  <c r="K40" i="48"/>
  <c r="H40" i="48"/>
  <c r="K41" i="48"/>
  <c r="H41" i="48"/>
  <c r="H45" i="48"/>
  <c r="H46" i="48"/>
  <c r="H50" i="48"/>
  <c r="H51" i="48"/>
  <c r="H55" i="48"/>
  <c r="E14" i="48"/>
  <c r="C10" i="48"/>
  <c r="H14" i="48"/>
  <c r="H15" i="48"/>
  <c r="H19" i="48"/>
  <c r="H20" i="48"/>
  <c r="H24" i="48"/>
  <c r="K40" i="47"/>
  <c r="H40" i="47"/>
  <c r="K41" i="47"/>
  <c r="H41" i="47"/>
  <c r="H45" i="47"/>
  <c r="H46" i="47"/>
  <c r="H50" i="47"/>
  <c r="H51" i="47"/>
  <c r="H55" i="47"/>
  <c r="E14" i="47"/>
  <c r="C10" i="47"/>
  <c r="H14" i="47"/>
  <c r="H15" i="47"/>
  <c r="H19" i="47"/>
  <c r="H20" i="47"/>
  <c r="H24" i="47"/>
  <c r="E14" i="46"/>
  <c r="C10" i="46"/>
  <c r="K40" i="46"/>
  <c r="H40" i="46"/>
  <c r="K41" i="46"/>
  <c r="H41" i="46"/>
  <c r="H45" i="46"/>
  <c r="H46" i="46"/>
  <c r="H50" i="46"/>
  <c r="H51" i="46"/>
  <c r="H55" i="46"/>
  <c r="H14" i="46"/>
  <c r="H15" i="46"/>
  <c r="H19" i="46"/>
  <c r="H20" i="46"/>
  <c r="H24" i="46"/>
  <c r="H51" i="45"/>
  <c r="H50" i="45"/>
  <c r="H46" i="45"/>
  <c r="H45" i="45"/>
  <c r="K41" i="45"/>
  <c r="H41" i="45"/>
  <c r="K40" i="45"/>
  <c r="H40" i="45"/>
  <c r="H55" i="45"/>
  <c r="H20" i="45"/>
  <c r="H19" i="45"/>
  <c r="H15" i="45"/>
  <c r="H14" i="45"/>
  <c r="E45" i="44"/>
  <c r="E40" i="44"/>
  <c r="E14" i="44"/>
  <c r="H51" i="44"/>
  <c r="H50" i="44"/>
  <c r="G45" i="44"/>
  <c r="F45" i="44"/>
  <c r="G40" i="44"/>
  <c r="F40" i="44"/>
  <c r="C32" i="44"/>
  <c r="H45" i="44"/>
  <c r="H20" i="44"/>
  <c r="H19" i="44"/>
  <c r="H15" i="44"/>
  <c r="G14" i="44"/>
  <c r="F14" i="44"/>
  <c r="H14" i="44"/>
  <c r="H24" i="44"/>
  <c r="G45" i="43"/>
  <c r="F45" i="43"/>
  <c r="E45" i="43"/>
  <c r="G40" i="43"/>
  <c r="F40" i="43"/>
  <c r="E40" i="43"/>
  <c r="E14" i="43"/>
  <c r="H14" i="43"/>
  <c r="C33" i="43"/>
  <c r="K40" i="43"/>
  <c r="H40" i="43"/>
  <c r="C32" i="43"/>
  <c r="H46" i="43"/>
  <c r="G14" i="43"/>
  <c r="F14" i="43"/>
  <c r="H51" i="43"/>
  <c r="H50" i="43"/>
  <c r="H20" i="43"/>
  <c r="H19" i="43"/>
  <c r="H15" i="43"/>
  <c r="G45" i="42"/>
  <c r="G40" i="42"/>
  <c r="G14" i="42"/>
  <c r="H24" i="45"/>
  <c r="C33" i="44"/>
  <c r="K41" i="44"/>
  <c r="H41" i="44"/>
  <c r="H46" i="44"/>
  <c r="K41" i="43"/>
  <c r="H41" i="43"/>
  <c r="H45" i="43"/>
  <c r="H24" i="43"/>
  <c r="K40" i="44"/>
  <c r="H40" i="44"/>
  <c r="H55" i="44"/>
  <c r="H55" i="43"/>
  <c r="H14" i="42"/>
  <c r="C33" i="42"/>
  <c r="C32" i="42"/>
  <c r="H51" i="42"/>
  <c r="H50" i="42"/>
  <c r="H46" i="42"/>
  <c r="H45" i="42"/>
  <c r="K41" i="42"/>
  <c r="H41" i="42"/>
  <c r="K40" i="42"/>
  <c r="H40" i="42"/>
  <c r="H20" i="42"/>
  <c r="H19" i="42"/>
  <c r="H15" i="42"/>
  <c r="C33" i="41"/>
  <c r="K41" i="41"/>
  <c r="H41" i="41"/>
  <c r="C32" i="41"/>
  <c r="H45" i="41"/>
  <c r="G45" i="41"/>
  <c r="F45" i="41"/>
  <c r="E45" i="41"/>
  <c r="G40" i="41"/>
  <c r="F40" i="41"/>
  <c r="E40" i="41"/>
  <c r="G14" i="41"/>
  <c r="H14" i="41"/>
  <c r="F14" i="41"/>
  <c r="G45" i="40"/>
  <c r="F45" i="40"/>
  <c r="G40" i="40"/>
  <c r="F40" i="40"/>
  <c r="G14" i="40"/>
  <c r="F14" i="40"/>
  <c r="E45" i="40"/>
  <c r="E40" i="40"/>
  <c r="E14" i="41"/>
  <c r="H51" i="41"/>
  <c r="H50" i="41"/>
  <c r="H46" i="41"/>
  <c r="K40" i="41"/>
  <c r="H40" i="41"/>
  <c r="H20" i="41"/>
  <c r="H19" i="41"/>
  <c r="H15" i="41"/>
  <c r="C33" i="40"/>
  <c r="C32" i="40"/>
  <c r="E14" i="40"/>
  <c r="H55" i="42"/>
  <c r="H24" i="42"/>
  <c r="H55" i="41"/>
  <c r="H24" i="41"/>
  <c r="H51" i="40"/>
  <c r="H50" i="40"/>
  <c r="H46" i="40"/>
  <c r="H45" i="40"/>
  <c r="K41" i="40"/>
  <c r="H41" i="40"/>
  <c r="K40" i="40"/>
  <c r="H40" i="40"/>
  <c r="H20" i="40"/>
  <c r="H19" i="40"/>
  <c r="H15" i="40"/>
  <c r="H14" i="40"/>
  <c r="G14" i="39"/>
  <c r="E14" i="39"/>
  <c r="H51" i="39"/>
  <c r="H50" i="39"/>
  <c r="H46" i="39"/>
  <c r="H45" i="39"/>
  <c r="K41" i="39"/>
  <c r="H41" i="39"/>
  <c r="K40" i="39"/>
  <c r="H40" i="39"/>
  <c r="H55" i="39"/>
  <c r="H20" i="39"/>
  <c r="H19" i="39"/>
  <c r="H15" i="39"/>
  <c r="H14" i="39"/>
  <c r="K18" i="38"/>
  <c r="E5" i="38"/>
  <c r="L18" i="38"/>
  <c r="J18" i="38"/>
  <c r="E14" i="36"/>
  <c r="H51" i="36"/>
  <c r="H50" i="36"/>
  <c r="H46" i="36"/>
  <c r="H45" i="36"/>
  <c r="K41" i="36"/>
  <c r="H41" i="36"/>
  <c r="K40" i="36"/>
  <c r="H40" i="36"/>
  <c r="H55" i="36"/>
  <c r="H20" i="36"/>
  <c r="H19" i="36"/>
  <c r="H15" i="36"/>
  <c r="H14" i="36"/>
  <c r="H46" i="27"/>
  <c r="H45" i="27"/>
  <c r="C55" i="20"/>
  <c r="H51" i="27"/>
  <c r="H50" i="27"/>
  <c r="B35" i="20"/>
  <c r="H20" i="27"/>
  <c r="H19" i="27"/>
  <c r="H15" i="27"/>
  <c r="H14" i="27"/>
  <c r="H55" i="40"/>
  <c r="H24" i="40"/>
  <c r="H24" i="39"/>
  <c r="E4" i="38"/>
  <c r="H24" i="36"/>
  <c r="D50" i="20"/>
  <c r="I63" i="20"/>
  <c r="H63" i="20"/>
  <c r="G63" i="20"/>
  <c r="F63" i="20"/>
  <c r="E63" i="20"/>
  <c r="D63" i="20"/>
  <c r="C63" i="20"/>
  <c r="J63" i="20"/>
  <c r="L63" i="20"/>
  <c r="M63" i="20"/>
  <c r="N63" i="20"/>
  <c r="O63" i="20"/>
  <c r="P63" i="20"/>
  <c r="Q63" i="20"/>
  <c r="R63" i="20"/>
  <c r="S63" i="20"/>
  <c r="T63" i="20"/>
  <c r="U63" i="20"/>
  <c r="V63" i="20"/>
  <c r="L59" i="20"/>
  <c r="M59" i="20"/>
  <c r="N59" i="20"/>
  <c r="O59" i="20"/>
  <c r="P59" i="20"/>
  <c r="Q59" i="20"/>
  <c r="R59" i="20"/>
  <c r="S59" i="20"/>
  <c r="T59" i="20"/>
  <c r="U59" i="20"/>
  <c r="V59" i="20"/>
  <c r="C53" i="20"/>
  <c r="B27" i="20"/>
  <c r="B28" i="20"/>
  <c r="C44" i="20"/>
  <c r="N60" i="20"/>
  <c r="B20" i="20"/>
  <c r="B18" i="20"/>
  <c r="C15" i="20"/>
  <c r="T60" i="20"/>
  <c r="C50" i="20"/>
  <c r="C51" i="20"/>
  <c r="V60" i="20"/>
  <c r="U60" i="20"/>
  <c r="M60" i="20"/>
  <c r="C16" i="20"/>
  <c r="B46" i="20"/>
  <c r="B57" i="20"/>
  <c r="H24" i="27"/>
  <c r="D11" i="20"/>
  <c r="E11" i="20"/>
  <c r="F11" i="20"/>
  <c r="G11" i="20"/>
  <c r="H11" i="20"/>
  <c r="I11" i="20"/>
  <c r="J11" i="20"/>
  <c r="K11" i="20"/>
  <c r="L11" i="20"/>
  <c r="M11" i="20"/>
  <c r="N11" i="20"/>
  <c r="O11" i="20"/>
  <c r="P11" i="20"/>
  <c r="Q11" i="20"/>
  <c r="R11" i="20"/>
  <c r="S11" i="20"/>
  <c r="T11" i="20"/>
  <c r="U11" i="20"/>
  <c r="V11" i="20"/>
  <c r="C46" i="20"/>
  <c r="C57" i="20"/>
  <c r="M12" i="20"/>
  <c r="C41" i="20"/>
  <c r="C42" i="20"/>
  <c r="N12" i="20"/>
  <c r="O12" i="20"/>
  <c r="P12" i="20"/>
  <c r="B15" i="20"/>
  <c r="B16" i="20"/>
  <c r="Q12" i="20"/>
  <c r="R12" i="20"/>
  <c r="S12" i="20"/>
  <c r="T12" i="20"/>
  <c r="U12" i="20"/>
  <c r="V12" i="20"/>
  <c r="K41" i="27"/>
  <c r="H41" i="27"/>
  <c r="K40" i="27"/>
  <c r="H40" i="27"/>
  <c r="H55" i="27"/>
</calcChain>
</file>

<file path=xl/comments1.xml><?xml version="1.0" encoding="utf-8"?>
<comments xmlns="http://schemas.openxmlformats.org/spreadsheetml/2006/main">
  <authors>
    <author>Matt Socks</author>
  </authors>
  <commentList>
    <comment ref="K65" authorId="0">
      <text>
        <r>
          <rPr>
            <b/>
            <sz val="9"/>
            <color indexed="81"/>
            <rFont val="Tahoma"/>
            <family val="2"/>
          </rPr>
          <t>Matt Socks:</t>
        </r>
        <r>
          <rPr>
            <sz val="9"/>
            <color indexed="81"/>
            <rFont val="Tahoma"/>
            <family val="2"/>
          </rPr>
          <t xml:space="preserve">
The baseline component costs for years 1-2 are omitted as the component was purchased back in year -2, prior to the early replacement.</t>
        </r>
      </text>
    </comment>
    <comment ref="N65" authorId="0">
      <text>
        <r>
          <rPr>
            <b/>
            <sz val="9"/>
            <color indexed="81"/>
            <rFont val="Tahoma"/>
            <family val="2"/>
          </rPr>
          <t>Matt Socks:</t>
        </r>
        <r>
          <rPr>
            <sz val="9"/>
            <color indexed="81"/>
            <rFont val="Tahoma"/>
            <family val="2"/>
          </rPr>
          <t xml:space="preserve">
Assume that any remaining life of the existing components in the pre-baseline shift case have no value after the end of the existing equipment measure life.</t>
        </r>
      </text>
    </comment>
    <comment ref="O67" authorId="0">
      <text>
        <r>
          <rPr>
            <b/>
            <sz val="9"/>
            <color indexed="81"/>
            <rFont val="Tahoma"/>
            <family val="2"/>
          </rPr>
          <t>Matt Socks:</t>
        </r>
        <r>
          <rPr>
            <sz val="9"/>
            <color indexed="81"/>
            <rFont val="Tahoma"/>
            <family val="2"/>
          </rPr>
          <t xml:space="preserve">
The component costs for the initial "2nd baseline" component should be captured in the Deferred Replacement Credit.
</t>
        </r>
      </text>
    </comment>
  </commentList>
</comments>
</file>

<file path=xl/sharedStrings.xml><?xml version="1.0" encoding="utf-8"?>
<sst xmlns="http://schemas.openxmlformats.org/spreadsheetml/2006/main" count="1101" uniqueCount="142">
  <si>
    <t>NPV</t>
  </si>
  <si>
    <t>Time of Sale</t>
  </si>
  <si>
    <t>RDR</t>
  </si>
  <si>
    <t>PMT</t>
  </si>
  <si>
    <t>PV</t>
  </si>
  <si>
    <t>Measure Name</t>
  </si>
  <si>
    <t>Program</t>
  </si>
  <si>
    <t>Baseline Components</t>
  </si>
  <si>
    <t>Baseline Component #1</t>
  </si>
  <si>
    <t>Description</t>
  </si>
  <si>
    <t>Life (years)</t>
  </si>
  <si>
    <t>Measure Life (years)</t>
  </si>
  <si>
    <t>Baseline Component #2</t>
  </si>
  <si>
    <t>Efficient Components</t>
  </si>
  <si>
    <t>Efficient Component #1</t>
  </si>
  <si>
    <t>Material Cost ($)</t>
  </si>
  <si>
    <t>Labor Cost ($)</t>
  </si>
  <si>
    <t>Efficient Component #2</t>
  </si>
  <si>
    <t>LED 1x4, 2x2, and 2x4 Luminaires and Retrofit Kits</t>
  </si>
  <si>
    <t>4' T8 lamps replacements per kilolumen</t>
  </si>
  <si>
    <t>Net Present Value O&amp;M</t>
  </si>
  <si>
    <t>Calculation of O&amp;M Impacts</t>
  </si>
  <si>
    <t>COMP LIFE</t>
  </si>
  <si>
    <t>Includes error catch for component life exceeding measure life</t>
  </si>
  <si>
    <t>YEAR</t>
  </si>
  <si>
    <t>MEAS LIFE</t>
  </si>
  <si>
    <t>COMP COST</t>
  </si>
  <si>
    <t>Time of Sale Example</t>
  </si>
  <si>
    <t>Early Retirement Example</t>
  </si>
  <si>
    <t>RUL</t>
  </si>
  <si>
    <t>Pre-Baseline Shift Components</t>
  </si>
  <si>
    <t>Component replaced upon failure</t>
  </si>
  <si>
    <t>Component installed with measure</t>
  </si>
  <si>
    <t>Post-Baseline Shift Components</t>
  </si>
  <si>
    <t>Measure Early Replacement</t>
  </si>
  <si>
    <t>Baseline measure installed</t>
  </si>
  <si>
    <t>Early Replacement Measure</t>
  </si>
  <si>
    <t>Baseline measure replaced</t>
  </si>
  <si>
    <t>Pre-Baseline Measure</t>
  </si>
  <si>
    <t>Post-Baseline Shift Measure</t>
  </si>
  <si>
    <t>Replacements to Count</t>
  </si>
  <si>
    <t>PRE_COMP LIFE</t>
  </si>
  <si>
    <t>PRE_COMP COST</t>
  </si>
  <si>
    <t>POST_COMP LIFE</t>
  </si>
  <si>
    <t>POST_COMP COST</t>
  </si>
  <si>
    <t>EXISTING AGE</t>
  </si>
  <si>
    <t>PMT for component life and cost</t>
  </si>
  <si>
    <t>Essentially the "phase one" measure life</t>
  </si>
  <si>
    <t>Includes error catch for component life exceeding RUL</t>
  </si>
  <si>
    <t>Combined PRE_COMP LIFE</t>
  </si>
  <si>
    <t>This is the combined life for all component replacements that occur prior to the early replacement</t>
  </si>
  <si>
    <t>Conceptual Example</t>
  </si>
  <si>
    <t>Pre-shift calcs</t>
  </si>
  <si>
    <t>Post-shift calcs</t>
  </si>
  <si>
    <t>Pre-Baseline Shift Baseline Components</t>
  </si>
  <si>
    <r>
      <t>Post-Baseline Shift Baseline Components (</t>
    </r>
    <r>
      <rPr>
        <b/>
        <i/>
        <sz val="10"/>
        <rFont val="Trebuchet MS"/>
        <family val="2"/>
      </rPr>
      <t>if applicable</t>
    </r>
    <r>
      <rPr>
        <b/>
        <sz val="10"/>
        <rFont val="Trebuchet MS"/>
        <family val="2"/>
      </rPr>
      <t>)</t>
    </r>
  </si>
  <si>
    <t>Interim Calculations</t>
  </si>
  <si>
    <t>Remaining Useful Life (years)</t>
  </si>
  <si>
    <t>Early Replacement</t>
  </si>
  <si>
    <t>Combined replacement components life</t>
  </si>
  <si>
    <t>LED Exit Sign</t>
  </si>
  <si>
    <t>LED Outdoor Pole/Arm- or Wall-Mounted Area and Roadway Lighting Luminaires and Retrofit Kits</t>
  </si>
  <si>
    <t>LED High-Bay Luminaires and Retrofit Kits</t>
  </si>
  <si>
    <t>Notes</t>
  </si>
  <si>
    <t>Inputs</t>
  </si>
  <si>
    <t>Existing Equipment Life (years)</t>
  </si>
  <si>
    <t>Delamping</t>
  </si>
  <si>
    <t>CFL replacement</t>
  </si>
  <si>
    <t>This measure is classified as an Early Replacement in the TRM, but it is assumed that the existing exit sign would have been maintained with new baseline lamps (and ballasts, if required) for the duration of the measure life. Therefore, the TOS O&amp;M methodology is used.</t>
  </si>
  <si>
    <t>4' linear fluorescent lamp replacement</t>
  </si>
  <si>
    <t>This is technically an Early Retirement measure, but uses the TOS O&amp;M methodology as component replacement would have occurred for the duration of the measure life.</t>
  </si>
  <si>
    <t>NPV (beginning of Year 11) of 4 years beyond component life</t>
  </si>
  <si>
    <t>NPV (beginning of Year 1)</t>
  </si>
  <si>
    <t>CASHFLOW APPROACH</t>
  </si>
  <si>
    <t>PMT FORMULA APPROACH</t>
  </si>
  <si>
    <t>Compiled PMT Method Equation</t>
  </si>
  <si>
    <t>COST</t>
  </si>
  <si>
    <t>EXISTING EQUIP LIFE</t>
  </si>
  <si>
    <t>NPV (beginning of Year 3) of number of years in RUL after most recent baseline component replacement</t>
  </si>
  <si>
    <t>TOTAL NPV</t>
  </si>
  <si>
    <t>Is Initial Component Cost included in Deferred Replacement Credit?</t>
  </si>
  <si>
    <t>No</t>
  </si>
  <si>
    <t>Yes</t>
  </si>
  <si>
    <t>Existing Equipment Age (years)</t>
  </si>
  <si>
    <t>Include First Post-Baseline Shift Component?</t>
  </si>
  <si>
    <t>Common Building Laborer</t>
  </si>
  <si>
    <t>Electricians</t>
  </si>
  <si>
    <t>Trade</t>
  </si>
  <si>
    <t>Base Rate Incl. Fringes</t>
  </si>
  <si>
    <t>Hourly</t>
  </si>
  <si>
    <t>Rate with O &amp; P</t>
  </si>
  <si>
    <t>Location Factors</t>
  </si>
  <si>
    <t>State</t>
  </si>
  <si>
    <t>MD</t>
  </si>
  <si>
    <t>ZIP</t>
  </si>
  <si>
    <t>City</t>
  </si>
  <si>
    <t>Mat.</t>
  </si>
  <si>
    <t>Inst.</t>
  </si>
  <si>
    <t>Total</t>
  </si>
  <si>
    <t>207-208</t>
  </si>
  <si>
    <t>210-212</t>
  </si>
  <si>
    <t>Waldorf</t>
  </si>
  <si>
    <t>College Park</t>
  </si>
  <si>
    <t>Silver Spring</t>
  </si>
  <si>
    <t>Baltimore</t>
  </si>
  <si>
    <t>Annapolis</t>
  </si>
  <si>
    <t>Cumberland</t>
  </si>
  <si>
    <t>Easton</t>
  </si>
  <si>
    <t>Hagerstown</t>
  </si>
  <si>
    <t>Salisbury</t>
  </si>
  <si>
    <t>Elkton</t>
  </si>
  <si>
    <t>DE</t>
  </si>
  <si>
    <t>Newark</t>
  </si>
  <si>
    <t>Wilmington</t>
  </si>
  <si>
    <t>Dover</t>
  </si>
  <si>
    <t>DC</t>
  </si>
  <si>
    <t>200-205</t>
  </si>
  <si>
    <t>Washington</t>
  </si>
  <si>
    <t>Population (City)</t>
  </si>
  <si>
    <t>Source: 2010 Census</t>
  </si>
  <si>
    <t>Pop Wtd AVERAGE</t>
  </si>
  <si>
    <t>Mid-Atlantic Wtd Avg with O &amp; P</t>
  </si>
  <si>
    <t>Source: Electrical Costs with RSMeans Data 2017</t>
  </si>
  <si>
    <t>Metal halide lamp</t>
  </si>
  <si>
    <t>LED Parking Garage/Canopy Luminaires and Retrofit Kits (Canopy)</t>
  </si>
  <si>
    <t>LED Refrigerated Case Lighting</t>
  </si>
  <si>
    <t>Linear fluorescent lamp (per linear foot)</t>
  </si>
  <si>
    <t>ENERGY STAR Integrated Screw Based SSL (LED) Lamp – Commercial</t>
  </si>
  <si>
    <t>Unknown baseline lamp</t>
  </si>
  <si>
    <t>A lamp baseline lamp</t>
  </si>
  <si>
    <t>Reflector baseline lamp</t>
  </si>
  <si>
    <t>Globe baseline lamp</t>
  </si>
  <si>
    <t>O&amp;M CALCULATION DETAILS AND EXAMPLES</t>
  </si>
  <si>
    <t>Source: Replacement lamps can typically be purchased for ~$5 (based on a review of online retailers performed 3/14/2013 including “http://www.exitlightco.com/” and “http://www.1000bulbs.com/”). Assuming lamp replacement requires 15 minutes of a common building laborer's time in Washington D.C. (RSMeans Electrical Cost Data 2008), the total installed cost would be approximately $12. Assumes rated life of fluorescent replacement lamp is 10,000 hours. Assuming annual exit sign operating hours of 8,760, estimated lamp life is 1.14 years.</t>
  </si>
  <si>
    <t>Source: Assumes $1.15 per kilolumen from California Work Paper "PGECOLTG179.  LED Ambient Commercial Fixtures and Retrofit Kits. Revision #2" dated 06/01/2016. http://deeresources.net/workpapers. Assumes $2.35 per kilolumen in labor costs from Work Paper PGECOLTG179.  LED Ambient Commercial Fixtures and Retrofit Kits. Revision #2" dated 06/01/2016, adjusted for Mid-Atlantic labor rates. Assumes typical rated life of 30,000 hours for new linear fluorescent lamp.</t>
  </si>
  <si>
    <t>Source: Assumes $1.15 per kilolumen from California Work Paper "PGECOLTG179.  LED Ambient Commercial Fixtures and Retrofit Kits. Revision #2" dated 06/01/2016. http://deeresources.net/workpapers. Assumes $2.35 per kilolumen in labor costs from California Work Paper "PGECOLTG179.  LED Ambient Commercial Fixtures and Retrofit Kits. Revision #2" dated 06/01/2016, http://deeresources.net/workpapers, adjusted for Mid-Atlantic labor rates. Assumes typical rated life of 30,000 hours for new linear fluorescent lamp.</t>
  </si>
  <si>
    <t>Source: Assumes straight average of 175W, 250W, and 400W metal halide lamps from "Electrical Costs with RSMeans Data 2017," p.309. Assumes 26.667 hours per 100 lamp replacements from "Electrical Costs with RSMeans Data 2017," p.309, and labor costs for a Common Building Laborer assuming a straight average of costs for Mid-Atlantic cities presented in "Electrical Costs with RSMeans Data 2017," pp.550-551. Assumes typical rated life of 15,000 hours for new metal halide lamp.</t>
  </si>
  <si>
    <t>Candelabra baseline lamp</t>
  </si>
  <si>
    <t>Source: Baseline material costs adapted from California Work Paper "SCE13LG098 Revision 4."  June 8th, 2016. http://deeresources.net/workpapers. Assumes straight average costs per linear foot of all baseline lamps. Assumes 0.089 hours per lamp replacement from "Electrical Costs with RSMeans Data 2017," p.308, and labor costs for a Common Building Laborer assuming a straight average of costs for Mid-Atlantic cities presented in "Electrical Costs with RSMeans Data 2017," pp.550-551. Assumes typical rated life of 30,000 hours for new linear fluorescent lamp.</t>
  </si>
  <si>
    <t>Source: Assumes $2.25 per lamp from California Work Paper "PGECOLTG179.  LED Ambient Commercial Fixtures and Retrofit Kits. Revision #2" dated 06/01/2016.  http://deeresources.net/workpapers. Assumes 0.089 hours per lamp replacement from "Electrical Costs with RSMeans Data 2017," p.308, and labor costs for a Common Building Laborer assuming a population weighted average of costs for Mid-Atlantic cities presented in "Electrical Costs with RSMeans Data 2017," pp.550-551. Assumes typical rated life of 30,000 hours for new linear fluorescent lamp.</t>
  </si>
  <si>
    <t>Source: Baseline incandescent lamp cost assumptions are adapted from 2016 4th Quarter data provided by Lighttracker Inc.  The information from Lighttracker is based in part on data reported by IRI through its Advantage service for, and as interpreted solely by, Lighttracker Inc.  IRI disclaims liability of any kind arising from the use of this information.  The information from Lighttracker is also based in part on data from Nielsen through its Strategic Planner and Homescan Services for the lighting category for the 52-week period ending approximately on December 31, 2016, for the Maryland and U.S. markets and Expanded All Outlets Combined (xAOC) and Total Market Channels.  Copyright © 2016, Nielsen. Assumes 5 hours per 100 lamp replacements from "Electrical Costs with RSMeans Data 2017," p.309, and labor costs for a Common Building Laborer assuming a population weighted average of costs for Mid-Atlantic cities presented in "Electrical Costs with RSMeans Data 2017," pp.550-551. Assumes typical rated life of 1,000 hours for new indandescent lamp.</t>
  </si>
  <si>
    <t>Source: Assumes straight average of 175W, 250W, and 400W metal halide lamps from "Electrical Costs with RSMeans Data 2017," p.309. Assumes 26.667 hours per 100 lamp replacements from "Electrical Costs with RSMeans Data 2017," p.309, and labor costs for a Common Building Laborer assuming a population weighted average of costs for Mid-Atlantic cities presented in "Electrical Costs with RSMeans Data 2017," pp.550-551. Assumes typical rated life of 15,000 hours for new metal halide lamp.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</si>
</sst>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0.0"/>
  </numFmts>
  <fonts count="12" x14ac:knownFonts="1">
    <font>
      <sz val="10"/>
      <name val="Arial"/>
    </font>
    <font>
      <b/>
      <sz val="10"/>
      <name val="Arial"/>
      <family val="2"/>
    </font>
    <font>
      <sz val="10"/>
      <name val="Arial"/>
      <family val="2"/>
    </font>
    <font>
      <sz val="9"/>
      <color indexed="81"/>
      <name val="Tahoma"/>
      <family val="2"/>
    </font>
    <font>
      <sz val="10"/>
      <name val="Trebuchet MS"/>
      <family val="2"/>
    </font>
    <font>
      <sz val="12"/>
      <name val="Trebuchet MS"/>
      <family val="2"/>
    </font>
    <font>
      <b/>
      <sz val="9"/>
      <color indexed="81"/>
      <name val="Tahoma"/>
      <family val="2"/>
    </font>
    <font>
      <sz val="10"/>
      <name val="Arial"/>
      <family val="2"/>
    </font>
    <font>
      <b/>
      <sz val="18"/>
      <name val="Trebuchet MS"/>
      <family val="2"/>
    </font>
    <font>
      <b/>
      <sz val="10"/>
      <name val="Trebuchet MS"/>
      <family val="2"/>
    </font>
    <font>
      <sz val="7"/>
      <name val="Arial"/>
      <family val="2"/>
    </font>
    <font>
      <b/>
      <i/>
      <sz val="10"/>
      <name val="Trebuchet MS"/>
      <family val="2"/>
    </font>
  </fonts>
  <fills count="12">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9CCF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79">
    <xf numFmtId="0" fontId="0" fillId="0" borderId="0" xfId="0"/>
    <xf numFmtId="0" fontId="1" fillId="0" borderId="0" xfId="0" applyFont="1"/>
    <xf numFmtId="164" fontId="0" fillId="0" borderId="0" xfId="0" applyNumberFormat="1"/>
    <xf numFmtId="0" fontId="0" fillId="0" borderId="0" xfId="0" applyAlignment="1">
      <alignment wrapText="1"/>
    </xf>
    <xf numFmtId="0" fontId="1" fillId="0" borderId="0" xfId="0" applyFont="1" applyAlignment="1">
      <alignment wrapText="1"/>
    </xf>
    <xf numFmtId="0" fontId="2" fillId="0" borderId="0" xfId="0" applyFont="1"/>
    <xf numFmtId="0" fontId="2" fillId="0" borderId="0" xfId="0" applyFont="1" applyAlignment="1">
      <alignment horizontal="right"/>
    </xf>
    <xf numFmtId="8" fontId="0" fillId="0" borderId="0" xfId="0" applyNumberFormat="1"/>
    <xf numFmtId="0" fontId="4" fillId="0" borderId="0" xfId="0" applyFont="1"/>
    <xf numFmtId="0" fontId="5" fillId="0" borderId="0" xfId="0" applyFont="1"/>
    <xf numFmtId="0" fontId="1" fillId="0" borderId="0" xfId="0" applyFont="1" applyAlignment="1">
      <alignment horizontal="right"/>
    </xf>
    <xf numFmtId="0" fontId="0" fillId="0" borderId="0" xfId="0" applyFill="1"/>
    <xf numFmtId="0" fontId="0" fillId="3" borderId="0" xfId="0" applyFill="1"/>
    <xf numFmtId="0" fontId="8" fillId="3" borderId="0" xfId="0" applyFont="1" applyFill="1"/>
    <xf numFmtId="0" fontId="4" fillId="3" borderId="0" xfId="0" applyFont="1" applyFill="1"/>
    <xf numFmtId="0" fontId="5" fillId="2" borderId="0" xfId="0" applyFont="1" applyFill="1"/>
    <xf numFmtId="0" fontId="4" fillId="2" borderId="0" xfId="0" applyFont="1" applyFill="1"/>
    <xf numFmtId="0" fontId="9" fillId="0" borderId="0" xfId="0" applyFont="1"/>
    <xf numFmtId="0" fontId="4" fillId="0" borderId="0" xfId="0" applyFont="1" applyAlignment="1">
      <alignment horizontal="center" wrapText="1"/>
    </xf>
    <xf numFmtId="0" fontId="4" fillId="0" borderId="0" xfId="0" applyFont="1" applyAlignment="1">
      <alignment horizontal="right" vertical="center"/>
    </xf>
    <xf numFmtId="0" fontId="4" fillId="0" borderId="0" xfId="0" applyFont="1" applyFill="1" applyBorder="1"/>
    <xf numFmtId="0" fontId="4" fillId="2" borderId="0" xfId="0" applyFont="1" applyFill="1" applyBorder="1"/>
    <xf numFmtId="0" fontId="4" fillId="0" borderId="0" xfId="0" applyFont="1" applyFill="1" applyBorder="1" applyAlignment="1">
      <alignment vertical="center"/>
    </xf>
    <xf numFmtId="0" fontId="9" fillId="0" borderId="0" xfId="0" applyFont="1" applyFill="1" applyBorder="1" applyAlignment="1">
      <alignment vertical="center"/>
    </xf>
    <xf numFmtId="0" fontId="9" fillId="0" borderId="3" xfId="0" applyFont="1" applyFill="1" applyBorder="1"/>
    <xf numFmtId="0" fontId="9" fillId="0" borderId="0" xfId="0" applyFont="1" applyFill="1" applyBorder="1"/>
    <xf numFmtId="8" fontId="9" fillId="4" borderId="4" xfId="0" applyNumberFormat="1" applyFont="1" applyFill="1" applyBorder="1"/>
    <xf numFmtId="2" fontId="4" fillId="2" borderId="0" xfId="0" applyNumberFormat="1" applyFont="1" applyFill="1"/>
    <xf numFmtId="164" fontId="4" fillId="2" borderId="0" xfId="0" applyNumberFormat="1" applyFont="1" applyFill="1"/>
    <xf numFmtId="0" fontId="1" fillId="3" borderId="0" xfId="0" applyFont="1" applyFill="1"/>
    <xf numFmtId="0" fontId="1" fillId="0" borderId="0" xfId="0" applyFont="1" applyFill="1"/>
    <xf numFmtId="8" fontId="4" fillId="4" borderId="0" xfId="0" applyNumberFormat="1" applyFont="1" applyFill="1"/>
    <xf numFmtId="164" fontId="0" fillId="0" borderId="0" xfId="0" applyNumberFormat="1" applyFill="1"/>
    <xf numFmtId="164" fontId="4" fillId="4" borderId="0" xfId="0" applyNumberFormat="1" applyFont="1" applyFill="1"/>
    <xf numFmtId="0" fontId="4" fillId="0" borderId="0" xfId="0" applyFont="1" applyFill="1"/>
    <xf numFmtId="8" fontId="4" fillId="0" borderId="0" xfId="0" applyNumberFormat="1" applyFont="1" applyFill="1"/>
    <xf numFmtId="0" fontId="9" fillId="3" borderId="0" xfId="0" applyFont="1" applyFill="1"/>
    <xf numFmtId="0" fontId="9" fillId="0" borderId="0" xfId="0" applyFont="1" applyFill="1"/>
    <xf numFmtId="164" fontId="4" fillId="0" borderId="0" xfId="0" applyNumberFormat="1" applyFont="1" applyFill="1"/>
    <xf numFmtId="0" fontId="0" fillId="2" borderId="0" xfId="0" applyFill="1"/>
    <xf numFmtId="6" fontId="9" fillId="4" borderId="4" xfId="0" applyNumberFormat="1" applyFont="1" applyFill="1" applyBorder="1"/>
    <xf numFmtId="0" fontId="1" fillId="9" borderId="0" xfId="0" applyFont="1" applyFill="1"/>
    <xf numFmtId="0" fontId="0" fillId="9" borderId="0" xfId="0" applyFill="1"/>
    <xf numFmtId="8" fontId="0" fillId="0" borderId="0" xfId="0" applyNumberFormat="1" applyAlignment="1">
      <alignment horizontal="center" wrapText="1"/>
    </xf>
    <xf numFmtId="0" fontId="0" fillId="0" borderId="0" xfId="0" applyAlignment="1">
      <alignment horizontal="center" wrapText="1"/>
    </xf>
    <xf numFmtId="8" fontId="0" fillId="0" borderId="0" xfId="0" applyNumberFormat="1" applyAlignment="1">
      <alignment horizontal="right"/>
    </xf>
    <xf numFmtId="0" fontId="0" fillId="10" borderId="0" xfId="0" applyFill="1"/>
    <xf numFmtId="8" fontId="0" fillId="10" borderId="0" xfId="0" applyNumberFormat="1" applyFill="1"/>
    <xf numFmtId="164" fontId="0" fillId="2" borderId="0" xfId="0" applyNumberFormat="1" applyFill="1"/>
    <xf numFmtId="8" fontId="0" fillId="0" borderId="0" xfId="0" applyNumberFormat="1" applyFill="1"/>
    <xf numFmtId="0" fontId="10" fillId="0" borderId="1" xfId="0" applyFont="1" applyFill="1" applyBorder="1" applyAlignment="1">
      <alignment wrapText="1"/>
    </xf>
    <xf numFmtId="0" fontId="10" fillId="0" borderId="1" xfId="0" applyFont="1" applyBorder="1" applyAlignment="1">
      <alignment wrapText="1"/>
    </xf>
    <xf numFmtId="0" fontId="0" fillId="0" borderId="1" xfId="0" applyBorder="1" applyAlignment="1">
      <alignment wrapText="1"/>
    </xf>
    <xf numFmtId="0" fontId="0" fillId="8" borderId="1" xfId="0" applyFill="1" applyBorder="1" applyAlignment="1">
      <alignment wrapText="1"/>
    </xf>
    <xf numFmtId="0" fontId="2" fillId="0" borderId="1" xfId="0" applyFont="1" applyBorder="1" applyAlignment="1">
      <alignment wrapText="1"/>
    </xf>
    <xf numFmtId="0" fontId="10" fillId="7" borderId="2" xfId="0" applyFont="1" applyFill="1" applyBorder="1" applyAlignment="1">
      <alignment wrapText="1"/>
    </xf>
    <xf numFmtId="0" fontId="10" fillId="7" borderId="6" xfId="0" applyFont="1" applyFill="1" applyBorder="1" applyAlignment="1">
      <alignment wrapText="1"/>
    </xf>
    <xf numFmtId="0" fontId="0" fillId="6" borderId="2" xfId="0" applyFill="1" applyBorder="1" applyAlignment="1">
      <alignment wrapText="1"/>
    </xf>
    <xf numFmtId="0" fontId="10" fillId="6" borderId="2" xfId="0" applyFont="1" applyFill="1" applyBorder="1" applyAlignment="1">
      <alignment wrapText="1"/>
    </xf>
    <xf numFmtId="0" fontId="10" fillId="6" borderId="6" xfId="0" applyFont="1" applyFill="1" applyBorder="1" applyAlignment="1">
      <alignment wrapText="1"/>
    </xf>
    <xf numFmtId="0" fontId="10" fillId="5" borderId="2" xfId="0" applyFont="1" applyFill="1" applyBorder="1" applyAlignment="1">
      <alignment wrapText="1"/>
    </xf>
    <xf numFmtId="0" fontId="10" fillId="5" borderId="6" xfId="0" applyFont="1" applyFill="1" applyBorder="1" applyAlignment="1">
      <alignment wrapText="1"/>
    </xf>
    <xf numFmtId="0" fontId="10" fillId="3" borderId="2" xfId="0" applyFont="1" applyFill="1" applyBorder="1" applyAlignment="1">
      <alignment wrapText="1"/>
    </xf>
    <xf numFmtId="0" fontId="10" fillId="3" borderId="6" xfId="0" applyFont="1" applyFill="1" applyBorder="1" applyAlignment="1">
      <alignment wrapText="1"/>
    </xf>
    <xf numFmtId="0" fontId="10" fillId="5" borderId="5" xfId="0" applyFont="1" applyFill="1" applyBorder="1" applyAlignment="1"/>
    <xf numFmtId="0" fontId="10" fillId="7" borderId="5" xfId="0" applyFont="1" applyFill="1" applyBorder="1" applyAlignment="1"/>
    <xf numFmtId="0" fontId="10" fillId="3" borderId="5" xfId="0" applyFont="1" applyFill="1" applyBorder="1" applyAlignment="1"/>
    <xf numFmtId="0" fontId="10" fillId="6" borderId="5" xfId="0" applyFont="1" applyFill="1" applyBorder="1" applyAlignment="1"/>
    <xf numFmtId="0" fontId="1" fillId="0" borderId="0" xfId="0" applyFont="1" applyAlignment="1">
      <alignment horizontal="left" indent="5"/>
    </xf>
    <xf numFmtId="0" fontId="4" fillId="0" borderId="0" xfId="0" applyFont="1" applyAlignment="1">
      <alignment wrapText="1"/>
    </xf>
    <xf numFmtId="1" fontId="4" fillId="2" borderId="0" xfId="0" applyNumberFormat="1" applyFont="1" applyFill="1"/>
    <xf numFmtId="1" fontId="0" fillId="0" borderId="0" xfId="0" applyNumberFormat="1"/>
    <xf numFmtId="0" fontId="0" fillId="11" borderId="0" xfId="0" applyFill="1"/>
    <xf numFmtId="0" fontId="0" fillId="11" borderId="0" xfId="0" applyFill="1" applyAlignment="1">
      <alignment horizontal="right"/>
    </xf>
    <xf numFmtId="0" fontId="1" fillId="11" borderId="0" xfId="0" applyFont="1" applyFill="1"/>
    <xf numFmtId="164" fontId="0" fillId="11" borderId="0" xfId="0" applyNumberFormat="1" applyFill="1"/>
    <xf numFmtId="0" fontId="2" fillId="11" borderId="0" xfId="0" applyFont="1" applyFill="1"/>
    <xf numFmtId="2" fontId="0" fillId="11" borderId="0" xfId="0" applyNumberFormat="1" applyFill="1"/>
    <xf numFmtId="0" fontId="1" fillId="11" borderId="0" xfId="0" applyFont="1" applyFill="1" applyAlignment="1">
      <alignment wrapText="1"/>
    </xf>
  </cellXfs>
  <cellStyles count="2">
    <cellStyle name="Currency 2" xfId="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workbookViewId="0">
      <selection activeCell="I14" sqref="I14"/>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60</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t="s">
        <v>68</v>
      </c>
    </row>
    <row r="10" spans="2:9" s="34" customFormat="1" x14ac:dyDescent="0.3">
      <c r="B10" s="8" t="s">
        <v>11</v>
      </c>
      <c r="C10" s="16">
        <v>16</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67</v>
      </c>
      <c r="E14" s="27">
        <f>10000/8760</f>
        <v>1.1415525114155252</v>
      </c>
      <c r="F14" s="16">
        <v>5</v>
      </c>
      <c r="G14" s="16">
        <v>7</v>
      </c>
      <c r="H14" s="31">
        <f>IFERROR(PV($C$9,$E14,,-PV($C$9,MAX($C$10-$E14,0),PMT($C$9,$E14,SUM($F14:$G14),,1),,1)),0)</f>
        <v>108.03315058063379</v>
      </c>
      <c r="I14" s="8" t="s">
        <v>133</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40">
        <f>SUM(H14:H15)-SUM(H19:H20)</f>
        <v>108.03315058063379</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disablePrompts="1"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workbookViewId="0">
      <selection activeCell="I14" sqref="I14"/>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127</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28">
        <f>15000/3500</f>
        <v>4.2857142857142856</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130</v>
      </c>
      <c r="E14" s="28">
        <f>1000/3500</f>
        <v>0.2857142857142857</v>
      </c>
      <c r="F14" s="16">
        <v>3.63</v>
      </c>
      <c r="G14" s="27">
        <f>0.05*'M-A Labor Costs'!E4</f>
        <v>2.6500000000000004</v>
      </c>
      <c r="H14" s="31">
        <f>IFERROR(PV($C$9,$E14,,-PV($C$9,MAX($C$10-$E14,0),PMT($C$9,$E14,SUM($F14:$G14),,1),,1)),0)</f>
        <v>79.317227111650737</v>
      </c>
      <c r="I14" s="20" t="s">
        <v>140</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79.317227111650737</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4" workbookViewId="0">
      <selection activeCell="J17" sqref="J17"/>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127</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28">
        <f>15000/3500</f>
        <v>4.2857142857142856</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129</v>
      </c>
      <c r="E14" s="28">
        <f>1000/3500</f>
        <v>0.2857142857142857</v>
      </c>
      <c r="F14" s="16">
        <v>1.87</v>
      </c>
      <c r="G14" s="27">
        <f>0.05*'M-A Labor Costs'!E4</f>
        <v>2.6500000000000004</v>
      </c>
      <c r="H14" s="31">
        <f>IFERROR(PV($C$9,$E14,,-PV($C$9,MAX($C$10-$E14,0),PMT($C$9,$E14,SUM($F14:$G14),,1),,1)),0)</f>
        <v>57.088195309659447</v>
      </c>
      <c r="I14" s="20" t="s">
        <v>140</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57.088195309659447</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4" workbookViewId="0">
      <selection activeCell="I31" sqref="I31"/>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127</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28">
        <f>15000/3500</f>
        <v>4.2857142857142856</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137</v>
      </c>
      <c r="E14" s="28">
        <f>1000/3500</f>
        <v>0.2857142857142857</v>
      </c>
      <c r="F14" s="16">
        <v>1.0900000000000001</v>
      </c>
      <c r="G14" s="27">
        <f>0.05*'M-A Labor Costs'!E4</f>
        <v>2.6500000000000004</v>
      </c>
      <c r="H14" s="31">
        <f>IFERROR(PV($C$9,$E14,,-PV($C$9,MAX($C$10-$E14,0),PMT($C$9,$E14,SUM($F14:$G14),,1),,1)),0)</f>
        <v>47.236692579231487</v>
      </c>
      <c r="I14" s="20" t="s">
        <v>140</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47.236692579231487</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abSelected="1" workbookViewId="0">
      <selection activeCell="J22" sqref="J22"/>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125</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16">
        <v>8</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126</v>
      </c>
      <c r="E14" s="28">
        <f>30000/6205</f>
        <v>4.8348106365834003</v>
      </c>
      <c r="F14" s="16">
        <v>1.57</v>
      </c>
      <c r="G14" s="27">
        <f>8.889/100*'M-A Labor Costs'!E4/4</f>
        <v>1.1777925</v>
      </c>
      <c r="H14" s="31">
        <f>IFERROR(PV($C$9,$E14,,-PV($C$9,MAX($C$10-$E14,0),PMT($C$9,$E14,SUM($F14:$G14),,1),,1)),0)</f>
        <v>1.4779916455496316</v>
      </c>
      <c r="I14" s="20" t="s">
        <v>138</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1.4779916455496316</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disablePrompts="1"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topLeftCell="B1" workbookViewId="0">
      <selection activeCell="L30" sqref="L30"/>
    </sheetView>
  </sheetViews>
  <sheetFormatPr defaultRowHeight="12.75" x14ac:dyDescent="0.2"/>
  <cols>
    <col min="2" max="2" width="22.85546875" customWidth="1"/>
    <col min="3" max="3" width="12.28515625" customWidth="1"/>
    <col min="4" max="4" width="10.85546875" customWidth="1"/>
    <col min="5" max="5" width="12.7109375" customWidth="1"/>
    <col min="7" max="7" width="10.140625" customWidth="1"/>
    <col min="9" max="9" width="11.7109375" customWidth="1"/>
    <col min="13" max="13" width="15.7109375" customWidth="1"/>
  </cols>
  <sheetData>
    <row r="2" spans="2:13" ht="38.25" x14ac:dyDescent="0.2">
      <c r="B2" s="74"/>
      <c r="C2" s="78" t="s">
        <v>88</v>
      </c>
      <c r="D2" s="78" t="s">
        <v>90</v>
      </c>
      <c r="E2" s="4" t="s">
        <v>121</v>
      </c>
      <c r="F2" s="1"/>
      <c r="G2" s="1" t="s">
        <v>91</v>
      </c>
      <c r="H2" s="1"/>
      <c r="I2" s="1"/>
      <c r="J2" s="1"/>
      <c r="K2" s="1"/>
      <c r="L2" s="1"/>
      <c r="M2" s="1"/>
    </row>
    <row r="3" spans="2:13" x14ac:dyDescent="0.2">
      <c r="B3" s="74" t="s">
        <v>87</v>
      </c>
      <c r="C3" s="74" t="s">
        <v>89</v>
      </c>
      <c r="D3" s="74" t="s">
        <v>89</v>
      </c>
      <c r="E3" s="1" t="s">
        <v>89</v>
      </c>
      <c r="F3" s="1"/>
      <c r="G3" s="74" t="s">
        <v>92</v>
      </c>
      <c r="H3" s="74" t="s">
        <v>94</v>
      </c>
      <c r="I3" s="74" t="s">
        <v>95</v>
      </c>
      <c r="J3" s="74" t="s">
        <v>96</v>
      </c>
      <c r="K3" s="74" t="s">
        <v>97</v>
      </c>
      <c r="L3" s="74" t="s">
        <v>98</v>
      </c>
      <c r="M3" s="41" t="s">
        <v>118</v>
      </c>
    </row>
    <row r="4" spans="2:13" x14ac:dyDescent="0.2">
      <c r="B4" s="72" t="s">
        <v>85</v>
      </c>
      <c r="C4" s="72">
        <v>39.15</v>
      </c>
      <c r="D4" s="72">
        <v>60</v>
      </c>
      <c r="E4" s="71">
        <f>ROUND(D4*(K$18/100),0)</f>
        <v>53</v>
      </c>
      <c r="G4" s="72" t="s">
        <v>93</v>
      </c>
      <c r="H4" s="73">
        <v>206</v>
      </c>
      <c r="I4" s="72" t="s">
        <v>101</v>
      </c>
      <c r="J4" s="72">
        <v>96.7</v>
      </c>
      <c r="K4" s="72">
        <v>84.2</v>
      </c>
      <c r="L4" s="72">
        <v>91.2</v>
      </c>
      <c r="M4" s="42">
        <v>67752</v>
      </c>
    </row>
    <row r="5" spans="2:13" x14ac:dyDescent="0.2">
      <c r="B5" s="72" t="s">
        <v>86</v>
      </c>
      <c r="C5" s="77">
        <v>56.6</v>
      </c>
      <c r="D5" s="72">
        <v>84.8</v>
      </c>
      <c r="E5" s="71">
        <f>ROUND(D5*(K$18/100),0)</f>
        <v>74</v>
      </c>
      <c r="G5" s="72" t="s">
        <v>93</v>
      </c>
      <c r="H5" s="73" t="s">
        <v>99</v>
      </c>
      <c r="I5" s="72" t="s">
        <v>102</v>
      </c>
      <c r="J5" s="72">
        <v>96.8</v>
      </c>
      <c r="K5" s="72">
        <v>86</v>
      </c>
      <c r="L5" s="72">
        <v>92</v>
      </c>
      <c r="M5" s="42">
        <v>30413</v>
      </c>
    </row>
    <row r="6" spans="2:13" x14ac:dyDescent="0.2">
      <c r="B6" s="72"/>
      <c r="C6" s="72"/>
      <c r="D6" s="72"/>
      <c r="G6" s="72" t="s">
        <v>93</v>
      </c>
      <c r="H6" s="73">
        <v>209</v>
      </c>
      <c r="I6" s="72" t="s">
        <v>103</v>
      </c>
      <c r="J6" s="72">
        <v>96</v>
      </c>
      <c r="K6" s="72">
        <v>85.6</v>
      </c>
      <c r="L6" s="72">
        <v>91.4</v>
      </c>
      <c r="M6" s="42">
        <v>71452</v>
      </c>
    </row>
    <row r="7" spans="2:13" x14ac:dyDescent="0.2">
      <c r="B7" s="76" t="s">
        <v>122</v>
      </c>
      <c r="C7" s="72"/>
      <c r="D7" s="72"/>
      <c r="G7" s="72" t="s">
        <v>93</v>
      </c>
      <c r="H7" s="73" t="s">
        <v>100</v>
      </c>
      <c r="I7" s="72" t="s">
        <v>104</v>
      </c>
      <c r="J7" s="72">
        <v>100.7</v>
      </c>
      <c r="K7" s="72">
        <v>85.5</v>
      </c>
      <c r="L7" s="72">
        <v>94</v>
      </c>
      <c r="M7" s="42">
        <v>620961</v>
      </c>
    </row>
    <row r="8" spans="2:13" x14ac:dyDescent="0.2">
      <c r="G8" s="72" t="s">
        <v>93</v>
      </c>
      <c r="H8" s="73">
        <v>214</v>
      </c>
      <c r="I8" s="72" t="s">
        <v>105</v>
      </c>
      <c r="J8" s="72">
        <v>99.2</v>
      </c>
      <c r="K8" s="72">
        <v>85.6</v>
      </c>
      <c r="L8" s="72">
        <v>93.2</v>
      </c>
      <c r="M8" s="42">
        <v>38394</v>
      </c>
    </row>
    <row r="9" spans="2:13" x14ac:dyDescent="0.2">
      <c r="G9" s="72" t="s">
        <v>93</v>
      </c>
      <c r="H9" s="73">
        <v>215</v>
      </c>
      <c r="I9" s="72" t="s">
        <v>106</v>
      </c>
      <c r="J9" s="72">
        <v>96.3</v>
      </c>
      <c r="K9" s="72">
        <v>86.6</v>
      </c>
      <c r="L9" s="72">
        <v>92</v>
      </c>
      <c r="M9" s="42">
        <v>20859</v>
      </c>
    </row>
    <row r="10" spans="2:13" x14ac:dyDescent="0.2">
      <c r="G10" s="72" t="s">
        <v>93</v>
      </c>
      <c r="H10" s="73">
        <v>216</v>
      </c>
      <c r="I10" s="72" t="s">
        <v>107</v>
      </c>
      <c r="J10" s="72">
        <v>98</v>
      </c>
      <c r="K10" s="72">
        <v>74.2</v>
      </c>
      <c r="L10" s="72">
        <v>87.5</v>
      </c>
      <c r="M10" s="42">
        <v>15945</v>
      </c>
    </row>
    <row r="11" spans="2:13" x14ac:dyDescent="0.2">
      <c r="G11" s="72" t="s">
        <v>93</v>
      </c>
      <c r="H11" s="73">
        <v>217</v>
      </c>
      <c r="I11" s="72" t="s">
        <v>108</v>
      </c>
      <c r="J11" s="72">
        <v>96.6</v>
      </c>
      <c r="K11" s="72">
        <v>88.3</v>
      </c>
      <c r="L11" s="72">
        <v>92.9</v>
      </c>
      <c r="M11" s="42">
        <v>39662</v>
      </c>
    </row>
    <row r="12" spans="2:13" x14ac:dyDescent="0.2">
      <c r="G12" s="72" t="s">
        <v>93</v>
      </c>
      <c r="H12" s="73">
        <v>218</v>
      </c>
      <c r="I12" s="72" t="s">
        <v>109</v>
      </c>
      <c r="J12" s="72">
        <v>98.4</v>
      </c>
      <c r="K12" s="72">
        <v>68.8</v>
      </c>
      <c r="L12" s="72">
        <v>85.4</v>
      </c>
      <c r="M12" s="42">
        <v>30343</v>
      </c>
    </row>
    <row r="13" spans="2:13" x14ac:dyDescent="0.2">
      <c r="G13" s="72" t="s">
        <v>93</v>
      </c>
      <c r="H13" s="73">
        <v>219</v>
      </c>
      <c r="I13" s="72" t="s">
        <v>110</v>
      </c>
      <c r="J13" s="72">
        <v>95.2</v>
      </c>
      <c r="K13" s="72">
        <v>86.8</v>
      </c>
      <c r="L13" s="72">
        <v>91.5</v>
      </c>
      <c r="M13" s="42">
        <v>15443</v>
      </c>
    </row>
    <row r="14" spans="2:13" x14ac:dyDescent="0.2">
      <c r="G14" s="72" t="s">
        <v>111</v>
      </c>
      <c r="H14" s="73">
        <v>197</v>
      </c>
      <c r="I14" s="72" t="s">
        <v>112</v>
      </c>
      <c r="J14" s="72">
        <v>97.9</v>
      </c>
      <c r="K14" s="72">
        <v>111.9</v>
      </c>
      <c r="L14" s="72">
        <v>104.1</v>
      </c>
      <c r="M14" s="42">
        <v>31454</v>
      </c>
    </row>
    <row r="15" spans="2:13" x14ac:dyDescent="0.2">
      <c r="G15" s="72" t="s">
        <v>111</v>
      </c>
      <c r="H15" s="73">
        <v>198</v>
      </c>
      <c r="I15" s="72" t="s">
        <v>113</v>
      </c>
      <c r="J15" s="72">
        <v>97</v>
      </c>
      <c r="K15" s="72">
        <v>112</v>
      </c>
      <c r="L15" s="72">
        <v>103.6</v>
      </c>
      <c r="M15" s="42">
        <v>70851</v>
      </c>
    </row>
    <row r="16" spans="2:13" x14ac:dyDescent="0.2">
      <c r="G16" s="72" t="s">
        <v>111</v>
      </c>
      <c r="H16" s="73">
        <v>199</v>
      </c>
      <c r="I16" s="72" t="s">
        <v>114</v>
      </c>
      <c r="J16" s="72">
        <v>97.6</v>
      </c>
      <c r="K16" s="72">
        <v>112.1</v>
      </c>
      <c r="L16" s="72">
        <v>104</v>
      </c>
      <c r="M16" s="42">
        <v>36047</v>
      </c>
    </row>
    <row r="17" spans="7:13" x14ac:dyDescent="0.2">
      <c r="G17" s="72" t="s">
        <v>115</v>
      </c>
      <c r="H17" s="72" t="s">
        <v>116</v>
      </c>
      <c r="I17" s="72" t="s">
        <v>117</v>
      </c>
      <c r="J17" s="72">
        <v>100.2</v>
      </c>
      <c r="K17" s="72">
        <v>86.1</v>
      </c>
      <c r="L17" s="72">
        <v>94</v>
      </c>
      <c r="M17" s="42">
        <v>601723</v>
      </c>
    </row>
    <row r="18" spans="7:13" x14ac:dyDescent="0.2">
      <c r="G18" s="74" t="s">
        <v>120</v>
      </c>
      <c r="H18" s="72"/>
      <c r="I18" s="72"/>
      <c r="J18" s="75">
        <f>SUMPRODUCT(J4:J17,$M$4:$M$17)/SUM($M$4:$M$17)</f>
        <v>99.518640642488407</v>
      </c>
      <c r="K18" s="75">
        <f t="shared" ref="K18:L18" si="0">SUMPRODUCT(K4:K17,$M$4:$M$17)/SUM($M$4:$M$17)</f>
        <v>87.529861307787684</v>
      </c>
      <c r="L18" s="75">
        <f t="shared" si="0"/>
        <v>94.238134711839834</v>
      </c>
      <c r="M18" s="42"/>
    </row>
    <row r="19" spans="7:13" x14ac:dyDescent="0.2">
      <c r="G19" s="76" t="s">
        <v>122</v>
      </c>
      <c r="H19" s="72"/>
      <c r="I19" s="72"/>
      <c r="J19" s="72"/>
      <c r="K19" s="72"/>
      <c r="L19" s="72"/>
      <c r="M19" s="42" t="s">
        <v>119</v>
      </c>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K55"/>
  <sheetViews>
    <sheetView topLeftCell="A4" workbookViewId="0">
      <selection activeCell="G33" sqref="G33"/>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8" ht="10.5" customHeight="1" x14ac:dyDescent="0.3"/>
    <row r="2" spans="2:8" s="14" customFormat="1" ht="23.25" x14ac:dyDescent="0.35">
      <c r="B2" s="13" t="s">
        <v>21</v>
      </c>
    </row>
    <row r="4" spans="2:8" ht="18" x14ac:dyDescent="0.35">
      <c r="B4" s="9" t="s">
        <v>5</v>
      </c>
      <c r="C4" s="15" t="s">
        <v>5</v>
      </c>
    </row>
    <row r="6" spans="2:8" s="14" customFormat="1" x14ac:dyDescent="0.3">
      <c r="B6" s="36" t="s">
        <v>6</v>
      </c>
      <c r="C6" s="16" t="s">
        <v>1</v>
      </c>
    </row>
    <row r="7" spans="2:8" s="34" customFormat="1" x14ac:dyDescent="0.3">
      <c r="B7" s="37"/>
    </row>
    <row r="8" spans="2:8" s="34" customFormat="1" x14ac:dyDescent="0.3">
      <c r="B8" s="17" t="s">
        <v>64</v>
      </c>
      <c r="C8" s="8"/>
      <c r="E8" s="17" t="s">
        <v>63</v>
      </c>
      <c r="H8" s="35"/>
    </row>
    <row r="9" spans="2:8" s="34" customFormat="1" x14ac:dyDescent="0.3">
      <c r="B9" s="8" t="s">
        <v>2</v>
      </c>
      <c r="C9" s="16"/>
      <c r="E9" s="16"/>
    </row>
    <row r="10" spans="2:8" s="34" customFormat="1" x14ac:dyDescent="0.3">
      <c r="B10" s="8" t="s">
        <v>11</v>
      </c>
      <c r="C10" s="16"/>
    </row>
    <row r="11" spans="2:8" s="34" customFormat="1" x14ac:dyDescent="0.3">
      <c r="B11" s="37"/>
    </row>
    <row r="12" spans="2:8" x14ac:dyDescent="0.3">
      <c r="B12" s="17" t="s">
        <v>7</v>
      </c>
    </row>
    <row r="13" spans="2:8" x14ac:dyDescent="0.3">
      <c r="D13" s="8" t="s">
        <v>9</v>
      </c>
      <c r="E13" s="18" t="s">
        <v>10</v>
      </c>
      <c r="F13" s="18" t="s">
        <v>15</v>
      </c>
      <c r="G13" s="18" t="s">
        <v>16</v>
      </c>
      <c r="H13" s="8" t="s">
        <v>4</v>
      </c>
    </row>
    <row r="14" spans="2:8" s="20" customFormat="1" x14ac:dyDescent="0.3">
      <c r="B14" s="19"/>
      <c r="C14" s="19" t="s">
        <v>8</v>
      </c>
      <c r="D14" s="16"/>
      <c r="E14" s="28"/>
      <c r="F14" s="16"/>
      <c r="G14" s="16"/>
      <c r="H14" s="31">
        <f>IFERROR(PV($C$9,$E14,,-PV($C$9,MAX($C$10-$E14,0),PMT($C$9,$E14,SUM($F14:$G14),,1),,1)),0)</f>
        <v>0</v>
      </c>
    </row>
    <row r="15" spans="2:8" s="20" customFormat="1" x14ac:dyDescent="0.3">
      <c r="B15" s="19"/>
      <c r="C15" s="19" t="s">
        <v>12</v>
      </c>
      <c r="D15" s="16"/>
      <c r="E15" s="16"/>
      <c r="F15" s="16"/>
      <c r="G15" s="16"/>
      <c r="H15" s="31">
        <f>IFERROR(PV($C$9,$E15,,-PV($C$9,MAX($C$10-$E15,0),PMT($C$9,$E15,SUM($F15:$G15),,1),,1)),0)</f>
        <v>0</v>
      </c>
    </row>
    <row r="16" spans="2:8"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0</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9"/>
  <sheetViews>
    <sheetView zoomScaleNormal="100" workbookViewId="0">
      <selection activeCell="F36" sqref="F36"/>
    </sheetView>
  </sheetViews>
  <sheetFormatPr defaultRowHeight="12.75" x14ac:dyDescent="0.2"/>
  <cols>
    <col min="1" max="1" width="28" customWidth="1"/>
    <col min="2" max="2" width="13.42578125" customWidth="1"/>
    <col min="3" max="3" width="14" customWidth="1"/>
    <col min="4" max="22" width="13.28515625" customWidth="1"/>
  </cols>
  <sheetData>
    <row r="1" spans="1:22" s="12" customFormat="1" x14ac:dyDescent="0.2">
      <c r="A1" s="29" t="s">
        <v>132</v>
      </c>
    </row>
    <row r="2" spans="1:22" s="11" customFormat="1" x14ac:dyDescent="0.2">
      <c r="A2" s="30"/>
    </row>
    <row r="3" spans="1:22" s="12" customFormat="1" x14ac:dyDescent="0.2">
      <c r="A3" s="29" t="s">
        <v>27</v>
      </c>
    </row>
    <row r="5" spans="1:22" x14ac:dyDescent="0.2">
      <c r="A5" t="s">
        <v>2</v>
      </c>
      <c r="B5" s="39">
        <v>0.05</v>
      </c>
    </row>
    <row r="6" spans="1:22" x14ac:dyDescent="0.2">
      <c r="A6" s="5" t="s">
        <v>25</v>
      </c>
      <c r="B6" s="39">
        <v>14</v>
      </c>
    </row>
    <row r="8" spans="1:22" x14ac:dyDescent="0.2">
      <c r="A8" s="5" t="s">
        <v>22</v>
      </c>
      <c r="B8" s="39">
        <v>10</v>
      </c>
      <c r="C8" s="5"/>
    </row>
    <row r="9" spans="1:22" x14ac:dyDescent="0.2">
      <c r="A9" s="5" t="s">
        <v>26</v>
      </c>
      <c r="B9" s="39">
        <v>100</v>
      </c>
      <c r="C9" s="5"/>
    </row>
    <row r="10" spans="1:22" x14ac:dyDescent="0.2">
      <c r="B10" s="7"/>
      <c r="C10" s="5"/>
    </row>
    <row r="11" spans="1:22" x14ac:dyDescent="0.2">
      <c r="B11" s="6" t="s">
        <v>24</v>
      </c>
      <c r="C11">
        <v>1</v>
      </c>
      <c r="D11">
        <f>C11+1</f>
        <v>2</v>
      </c>
      <c r="E11">
        <f t="shared" ref="E11:V11" si="0">D11+1</f>
        <v>3</v>
      </c>
      <c r="F11">
        <f t="shared" si="0"/>
        <v>4</v>
      </c>
      <c r="G11">
        <f t="shared" si="0"/>
        <v>5</v>
      </c>
      <c r="H11">
        <f t="shared" si="0"/>
        <v>6</v>
      </c>
      <c r="I11">
        <f t="shared" si="0"/>
        <v>7</v>
      </c>
      <c r="J11">
        <f t="shared" si="0"/>
        <v>8</v>
      </c>
      <c r="K11">
        <f t="shared" si="0"/>
        <v>9</v>
      </c>
      <c r="L11">
        <f t="shared" si="0"/>
        <v>10</v>
      </c>
      <c r="M11">
        <f t="shared" si="0"/>
        <v>11</v>
      </c>
      <c r="N11">
        <f t="shared" si="0"/>
        <v>12</v>
      </c>
      <c r="O11">
        <f t="shared" si="0"/>
        <v>13</v>
      </c>
      <c r="P11">
        <f t="shared" si="0"/>
        <v>14</v>
      </c>
      <c r="Q11">
        <f t="shared" si="0"/>
        <v>15</v>
      </c>
      <c r="R11">
        <f t="shared" si="0"/>
        <v>16</v>
      </c>
      <c r="S11">
        <f t="shared" si="0"/>
        <v>17</v>
      </c>
      <c r="T11">
        <f t="shared" si="0"/>
        <v>18</v>
      </c>
      <c r="U11">
        <f t="shared" si="0"/>
        <v>19</v>
      </c>
      <c r="V11">
        <f t="shared" si="0"/>
        <v>20</v>
      </c>
    </row>
    <row r="12" spans="1:22" x14ac:dyDescent="0.2">
      <c r="B12" s="45" t="s">
        <v>76</v>
      </c>
      <c r="C12" s="46">
        <v>0</v>
      </c>
      <c r="D12" s="46">
        <v>0</v>
      </c>
      <c r="E12" s="46">
        <v>0</v>
      </c>
      <c r="F12" s="46">
        <v>0</v>
      </c>
      <c r="G12" s="46">
        <v>0</v>
      </c>
      <c r="H12" s="46">
        <v>0</v>
      </c>
      <c r="I12" s="46">
        <v>0</v>
      </c>
      <c r="J12" s="46">
        <v>0</v>
      </c>
      <c r="K12" s="46">
        <v>0</v>
      </c>
      <c r="L12" s="46">
        <v>0</v>
      </c>
      <c r="M12" s="47">
        <f>B18</f>
        <v>-12.333769044329205</v>
      </c>
      <c r="N12" s="47">
        <f>M12</f>
        <v>-12.333769044329205</v>
      </c>
      <c r="O12" s="47">
        <f t="shared" ref="O12:V12" si="1">N12</f>
        <v>-12.333769044329205</v>
      </c>
      <c r="P12" s="47">
        <f t="shared" si="1"/>
        <v>-12.333769044329205</v>
      </c>
      <c r="Q12" s="7">
        <f t="shared" si="1"/>
        <v>-12.333769044329205</v>
      </c>
      <c r="R12" s="7">
        <f t="shared" si="1"/>
        <v>-12.333769044329205</v>
      </c>
      <c r="S12" s="7">
        <f t="shared" si="1"/>
        <v>-12.333769044329205</v>
      </c>
      <c r="T12" s="7">
        <f t="shared" si="1"/>
        <v>-12.333769044329205</v>
      </c>
      <c r="U12" s="7">
        <f t="shared" si="1"/>
        <v>-12.333769044329205</v>
      </c>
      <c r="V12" s="7">
        <f t="shared" si="1"/>
        <v>-12.333769044329205</v>
      </c>
    </row>
    <row r="13" spans="1:22" x14ac:dyDescent="0.2">
      <c r="B13" s="45"/>
      <c r="M13" s="7"/>
      <c r="N13" s="7"/>
      <c r="O13" s="7"/>
      <c r="P13" s="7"/>
      <c r="Q13" s="7"/>
      <c r="R13" s="7"/>
      <c r="S13" s="7"/>
      <c r="T13" s="7"/>
      <c r="U13" s="7"/>
      <c r="V13" s="7"/>
    </row>
    <row r="14" spans="1:22" ht="38.25" x14ac:dyDescent="0.2">
      <c r="B14" s="43" t="s">
        <v>73</v>
      </c>
      <c r="C14" s="44" t="s">
        <v>74</v>
      </c>
      <c r="M14" s="7"/>
      <c r="N14" s="7"/>
      <c r="O14" s="7"/>
      <c r="P14" s="7"/>
      <c r="Q14" s="7"/>
      <c r="R14" s="7"/>
      <c r="S14" s="7"/>
      <c r="T14" s="7"/>
      <c r="U14" s="7"/>
      <c r="V14" s="7"/>
    </row>
    <row r="15" spans="1:22" x14ac:dyDescent="0.2">
      <c r="A15" t="s">
        <v>0</v>
      </c>
      <c r="B15" s="7">
        <f>NPV($B$5,M12:P12)*(1+$B$5)</f>
        <v>-45.921681289009321</v>
      </c>
      <c r="C15" s="7">
        <f>-PV($B$5,MAX($B$6-$B$8,0),$B$18,,1)</f>
        <v>-45.921681289009321</v>
      </c>
      <c r="D15" t="s">
        <v>71</v>
      </c>
    </row>
    <row r="16" spans="1:22" x14ac:dyDescent="0.2">
      <c r="A16" t="s">
        <v>0</v>
      </c>
      <c r="B16" s="7">
        <f>NPV($B$5,C12:P12)*(1+$B$5)</f>
        <v>-28.191928768197513</v>
      </c>
      <c r="C16" s="7">
        <f>-PV($B$5,$B$8,,$C$15)</f>
        <v>-28.191928768197521</v>
      </c>
      <c r="D16" t="s">
        <v>72</v>
      </c>
    </row>
    <row r="18" spans="1:4" x14ac:dyDescent="0.2">
      <c r="A18" t="s">
        <v>3</v>
      </c>
      <c r="B18" s="7">
        <f>PMT($B$5,$B$8,$B$9,,1)</f>
        <v>-12.333769044329205</v>
      </c>
      <c r="D18" s="5" t="s">
        <v>46</v>
      </c>
    </row>
    <row r="20" spans="1:4" x14ac:dyDescent="0.2">
      <c r="A20" t="s">
        <v>75</v>
      </c>
      <c r="B20" s="7">
        <f>PV($B$5,$B$8,,PV($B$5,MAX($B$6-$B$8,0),PMT($B$5,$B$8,$B$9,,1),,1))</f>
        <v>-28.191928768197521</v>
      </c>
      <c r="C20" t="s">
        <v>23</v>
      </c>
    </row>
    <row r="22" spans="1:4" s="12" customFormat="1" x14ac:dyDescent="0.2">
      <c r="A22" s="29" t="s">
        <v>28</v>
      </c>
    </row>
    <row r="23" spans="1:4" x14ac:dyDescent="0.2">
      <c r="B23" s="5"/>
    </row>
    <row r="24" spans="1:4" x14ac:dyDescent="0.2">
      <c r="A24" t="s">
        <v>2</v>
      </c>
      <c r="B24" s="39">
        <v>0.05</v>
      </c>
    </row>
    <row r="25" spans="1:4" x14ac:dyDescent="0.2">
      <c r="A25" s="5" t="s">
        <v>25</v>
      </c>
      <c r="B25" s="39">
        <v>12</v>
      </c>
      <c r="C25" s="5"/>
    </row>
    <row r="26" spans="1:4" x14ac:dyDescent="0.2">
      <c r="A26" s="5" t="s">
        <v>77</v>
      </c>
      <c r="B26" s="39">
        <v>12</v>
      </c>
      <c r="C26" s="5"/>
    </row>
    <row r="27" spans="1:4" x14ac:dyDescent="0.2">
      <c r="A27" s="5" t="s">
        <v>29</v>
      </c>
      <c r="B27" s="48">
        <f>B26/3</f>
        <v>4</v>
      </c>
      <c r="C27" s="5" t="s">
        <v>47</v>
      </c>
    </row>
    <row r="28" spans="1:4" x14ac:dyDescent="0.2">
      <c r="A28" s="5" t="s">
        <v>45</v>
      </c>
      <c r="B28" s="2">
        <f>B26-B27</f>
        <v>8</v>
      </c>
    </row>
    <row r="29" spans="1:4" x14ac:dyDescent="0.2">
      <c r="A29" s="5"/>
      <c r="B29" s="2"/>
    </row>
    <row r="30" spans="1:4" x14ac:dyDescent="0.2">
      <c r="A30" s="5" t="s">
        <v>80</v>
      </c>
      <c r="B30" s="48" t="s">
        <v>82</v>
      </c>
    </row>
    <row r="32" spans="1:4" x14ac:dyDescent="0.2">
      <c r="A32" s="5" t="s">
        <v>41</v>
      </c>
      <c r="B32" s="39">
        <v>5</v>
      </c>
      <c r="C32" s="5"/>
      <c r="D32" s="5"/>
    </row>
    <row r="33" spans="1:4" x14ac:dyDescent="0.2">
      <c r="A33" s="5" t="s">
        <v>42</v>
      </c>
      <c r="B33" s="39">
        <v>100</v>
      </c>
      <c r="C33" s="5"/>
    </row>
    <row r="34" spans="1:4" x14ac:dyDescent="0.2">
      <c r="A34" s="5"/>
      <c r="C34" s="5"/>
    </row>
    <row r="35" spans="1:4" x14ac:dyDescent="0.2">
      <c r="A35" s="5" t="s">
        <v>49</v>
      </c>
      <c r="B35" s="32">
        <f>ROUNDUP(B28/B32,0)*B32</f>
        <v>10</v>
      </c>
      <c r="C35" s="5" t="s">
        <v>50</v>
      </c>
    </row>
    <row r="36" spans="1:4" x14ac:dyDescent="0.2">
      <c r="A36" s="5"/>
      <c r="C36" s="5"/>
    </row>
    <row r="37" spans="1:4" x14ac:dyDescent="0.2">
      <c r="A37" s="5" t="s">
        <v>43</v>
      </c>
      <c r="B37" s="39">
        <v>5</v>
      </c>
      <c r="C37" s="5"/>
    </row>
    <row r="38" spans="1:4" x14ac:dyDescent="0.2">
      <c r="A38" s="5" t="s">
        <v>44</v>
      </c>
      <c r="B38" s="39">
        <v>100</v>
      </c>
      <c r="C38" s="5"/>
    </row>
    <row r="39" spans="1:4" x14ac:dyDescent="0.2">
      <c r="C39" s="5"/>
    </row>
    <row r="40" spans="1:4" ht="38.25" x14ac:dyDescent="0.2">
      <c r="A40" s="29" t="s">
        <v>52</v>
      </c>
      <c r="B40" s="43" t="s">
        <v>73</v>
      </c>
      <c r="C40" s="44" t="s">
        <v>74</v>
      </c>
    </row>
    <row r="41" spans="1:4" x14ac:dyDescent="0.2">
      <c r="A41" t="s">
        <v>0</v>
      </c>
      <c r="C41" s="7">
        <f>-PV(B24,MAX(B26-B35,0),C44,,1)</f>
        <v>-42.947694890063467</v>
      </c>
      <c r="D41" t="s">
        <v>78</v>
      </c>
    </row>
    <row r="42" spans="1:4" x14ac:dyDescent="0.2">
      <c r="A42" t="s">
        <v>0</v>
      </c>
      <c r="C42" s="7">
        <f>-PV($B$24,$B$35-$B$28,,C41)</f>
        <v>-38.954825297109721</v>
      </c>
      <c r="D42" t="s">
        <v>72</v>
      </c>
    </row>
    <row r="43" spans="1:4" x14ac:dyDescent="0.2">
      <c r="C43" s="7"/>
    </row>
    <row r="44" spans="1:4" x14ac:dyDescent="0.2">
      <c r="A44" t="s">
        <v>3</v>
      </c>
      <c r="C44" s="7">
        <f>PMT(B24,B32,B33,,1)</f>
        <v>-21.997599821739819</v>
      </c>
      <c r="D44" s="5" t="s">
        <v>46</v>
      </c>
    </row>
    <row r="45" spans="1:4" x14ac:dyDescent="0.2">
      <c r="C45" s="7"/>
      <c r="D45" s="5"/>
    </row>
    <row r="46" spans="1:4" x14ac:dyDescent="0.2">
      <c r="A46" t="s">
        <v>75</v>
      </c>
      <c r="B46" s="7">
        <f>NPV(B24,K60:N60)*(1+B24)</f>
        <v>-38.954825297109707</v>
      </c>
      <c r="C46" s="7">
        <f>PV($B$24,$B$35-$B$28,,PV(B24,MAX(B25-B35,0),PMT(B24,B32,B33,,1),,1))</f>
        <v>-38.954825297109721</v>
      </c>
      <c r="D46" t="s">
        <v>48</v>
      </c>
    </row>
    <row r="47" spans="1:4" x14ac:dyDescent="0.2">
      <c r="B47" s="7"/>
    </row>
    <row r="48" spans="1:4" x14ac:dyDescent="0.2">
      <c r="B48" s="7"/>
    </row>
    <row r="49" spans="1:30" ht="25.5" x14ac:dyDescent="0.2">
      <c r="A49" s="29" t="s">
        <v>53</v>
      </c>
      <c r="B49" s="43" t="s">
        <v>73</v>
      </c>
    </row>
    <row r="50" spans="1:30" x14ac:dyDescent="0.2">
      <c r="A50" t="s">
        <v>0</v>
      </c>
      <c r="C50" s="7">
        <f>-PV(B24,MAX(B25-B27-IF(B30="Yes",B37,0),0),C53,,1)</f>
        <v>-62.90016638370507</v>
      </c>
      <c r="D50" s="5" t="str">
        <f>"NPV (beginning of Year 5) of number of years in measure life after"&amp;IF(B30="Yes"," initial component in second baseline measure expires"," first baseline expires")</f>
        <v>NPV (beginning of Year 5) of number of years in measure life after initial component in second baseline measure expires</v>
      </c>
      <c r="E50" s="5"/>
    </row>
    <row r="51" spans="1:30" x14ac:dyDescent="0.2">
      <c r="A51" t="s">
        <v>0</v>
      </c>
      <c r="C51" s="7">
        <f>-PV($B$24,B27+IF(B30="Yes",B37,0),,C50)</f>
        <v>-40.546008082519251</v>
      </c>
      <c r="D51" t="s">
        <v>72</v>
      </c>
    </row>
    <row r="52" spans="1:30" x14ac:dyDescent="0.2">
      <c r="C52" s="7"/>
    </row>
    <row r="53" spans="1:30" x14ac:dyDescent="0.2">
      <c r="A53" t="s">
        <v>3</v>
      </c>
      <c r="C53" s="7">
        <f>PMT(B24,B37,B38,,1)</f>
        <v>-21.997599821739819</v>
      </c>
      <c r="D53" s="5" t="s">
        <v>46</v>
      </c>
    </row>
    <row r="55" spans="1:30" x14ac:dyDescent="0.2">
      <c r="A55" t="s">
        <v>75</v>
      </c>
      <c r="C55" s="7">
        <f>PV($B$24,B27+IF(B30="Yes",B37,0),,PV(B24,MAX(B25-B27-IF(B30="Yes",B37,0),0),PMT(B24,B37,B38,,1),,1))</f>
        <v>-40.546008082519251</v>
      </c>
      <c r="D55" t="s">
        <v>48</v>
      </c>
    </row>
    <row r="56" spans="1:30" x14ac:dyDescent="0.2">
      <c r="B56" s="7"/>
    </row>
    <row r="57" spans="1:30" x14ac:dyDescent="0.2">
      <c r="A57" s="5" t="s">
        <v>79</v>
      </c>
      <c r="B57" s="7">
        <f>NPV(B24,K60:V60)*(1+B24)</f>
        <v>-79.500833379628887</v>
      </c>
      <c r="C57" s="7">
        <f>SUM(C55,C46)</f>
        <v>-79.500833379628972</v>
      </c>
    </row>
    <row r="58" spans="1:30" x14ac:dyDescent="0.2">
      <c r="B58" s="7"/>
    </row>
    <row r="59" spans="1:30" x14ac:dyDescent="0.2">
      <c r="B59" s="6" t="s">
        <v>24</v>
      </c>
      <c r="K59">
        <v>1</v>
      </c>
      <c r="L59">
        <f>K59+1</f>
        <v>2</v>
      </c>
      <c r="M59">
        <f t="shared" ref="M59" si="2">L59+1</f>
        <v>3</v>
      </c>
      <c r="N59">
        <f t="shared" ref="N59" si="3">M59+1</f>
        <v>4</v>
      </c>
      <c r="O59">
        <f t="shared" ref="O59" si="4">N59+1</f>
        <v>5</v>
      </c>
      <c r="P59">
        <f t="shared" ref="P59" si="5">O59+1</f>
        <v>6</v>
      </c>
      <c r="Q59">
        <f t="shared" ref="Q59" si="6">P59+1</f>
        <v>7</v>
      </c>
      <c r="R59">
        <f t="shared" ref="R59" si="7">Q59+1</f>
        <v>8</v>
      </c>
      <c r="S59">
        <f t="shared" ref="S59" si="8">R59+1</f>
        <v>9</v>
      </c>
      <c r="T59">
        <f t="shared" ref="T59" si="9">S59+1</f>
        <v>10</v>
      </c>
      <c r="U59">
        <f t="shared" ref="U59" si="10">T59+1</f>
        <v>11</v>
      </c>
      <c r="V59">
        <f t="shared" ref="V59" si="11">U59+1</f>
        <v>12</v>
      </c>
    </row>
    <row r="60" spans="1:30" x14ac:dyDescent="0.2">
      <c r="B60" s="45" t="s">
        <v>76</v>
      </c>
      <c r="K60" s="46">
        <v>0</v>
      </c>
      <c r="L60" s="46">
        <v>0</v>
      </c>
      <c r="M60" s="47">
        <f>C44</f>
        <v>-21.997599821739819</v>
      </c>
      <c r="N60" s="47">
        <f>C44</f>
        <v>-21.997599821739819</v>
      </c>
      <c r="O60" s="47">
        <v>0</v>
      </c>
      <c r="P60" s="47">
        <v>0</v>
      </c>
      <c r="Q60" s="47">
        <v>0</v>
      </c>
      <c r="R60" s="47">
        <v>0</v>
      </c>
      <c r="S60" s="47">
        <v>0</v>
      </c>
      <c r="T60" s="47">
        <f>C53</f>
        <v>-21.997599821739819</v>
      </c>
      <c r="U60" s="47">
        <f>C53</f>
        <v>-21.997599821739819</v>
      </c>
      <c r="V60" s="47">
        <f>C53</f>
        <v>-21.997599821739819</v>
      </c>
      <c r="W60" s="49"/>
      <c r="X60" s="49"/>
      <c r="Y60" s="7"/>
      <c r="Z60" s="7"/>
      <c r="AA60" s="7"/>
      <c r="AB60" s="7"/>
      <c r="AC60" s="7"/>
      <c r="AD60" s="7"/>
    </row>
    <row r="61" spans="1:30" x14ac:dyDescent="0.2">
      <c r="B61" s="7"/>
    </row>
    <row r="62" spans="1:30" x14ac:dyDescent="0.2">
      <c r="A62" t="s">
        <v>51</v>
      </c>
      <c r="B62" s="7"/>
    </row>
    <row r="63" spans="1:30" s="3" customFormat="1" x14ac:dyDescent="0.2">
      <c r="A63" s="4"/>
      <c r="B63" s="4" t="s">
        <v>24</v>
      </c>
      <c r="C63" s="3">
        <f t="shared" ref="C63:I63" si="12">D63-1</f>
        <v>-7</v>
      </c>
      <c r="D63" s="3">
        <f t="shared" si="12"/>
        <v>-6</v>
      </c>
      <c r="E63" s="3">
        <f t="shared" si="12"/>
        <v>-5</v>
      </c>
      <c r="F63" s="3">
        <f t="shared" si="12"/>
        <v>-4</v>
      </c>
      <c r="G63" s="3">
        <f t="shared" si="12"/>
        <v>-3</v>
      </c>
      <c r="H63" s="3">
        <f t="shared" si="12"/>
        <v>-2</v>
      </c>
      <c r="I63" s="3">
        <f t="shared" si="12"/>
        <v>-1</v>
      </c>
      <c r="J63" s="3">
        <f>K63-1</f>
        <v>0</v>
      </c>
      <c r="K63">
        <v>1</v>
      </c>
      <c r="L63">
        <f>K63+1</f>
        <v>2</v>
      </c>
      <c r="M63">
        <f t="shared" ref="M63" si="13">L63+1</f>
        <v>3</v>
      </c>
      <c r="N63">
        <f t="shared" ref="N63" si="14">M63+1</f>
        <v>4</v>
      </c>
      <c r="O63">
        <f t="shared" ref="O63" si="15">N63+1</f>
        <v>5</v>
      </c>
      <c r="P63">
        <f t="shared" ref="P63" si="16">O63+1</f>
        <v>6</v>
      </c>
      <c r="Q63">
        <f t="shared" ref="Q63" si="17">P63+1</f>
        <v>7</v>
      </c>
      <c r="R63">
        <f t="shared" ref="R63" si="18">Q63+1</f>
        <v>8</v>
      </c>
      <c r="S63">
        <f t="shared" ref="S63" si="19">R63+1</f>
        <v>9</v>
      </c>
      <c r="T63">
        <f t="shared" ref="T63" si="20">S63+1</f>
        <v>10</v>
      </c>
      <c r="U63">
        <f t="shared" ref="U63" si="21">T63+1</f>
        <v>11</v>
      </c>
      <c r="V63">
        <f t="shared" ref="V63" si="22">U63+1</f>
        <v>12</v>
      </c>
    </row>
    <row r="64" spans="1:30" s="3" customFormat="1" x14ac:dyDescent="0.2">
      <c r="A64" s="68" t="s">
        <v>38</v>
      </c>
      <c r="B64" s="10"/>
      <c r="C64" s="65" t="s">
        <v>35</v>
      </c>
      <c r="D64" s="55"/>
      <c r="E64" s="55"/>
      <c r="F64" s="55"/>
      <c r="G64" s="55"/>
      <c r="H64" s="55"/>
      <c r="I64" s="55"/>
      <c r="J64" s="55"/>
      <c r="K64" s="55"/>
      <c r="L64" s="55"/>
      <c r="M64" s="55"/>
      <c r="N64" s="56"/>
      <c r="O64" s="50"/>
      <c r="P64" s="50"/>
      <c r="Q64" s="50"/>
      <c r="R64" s="50"/>
      <c r="S64" s="50"/>
      <c r="T64" s="50"/>
      <c r="U64" s="50"/>
      <c r="V64" s="50"/>
    </row>
    <row r="65" spans="1:22" s="3" customFormat="1" x14ac:dyDescent="0.2">
      <c r="A65" s="68" t="s">
        <v>30</v>
      </c>
      <c r="B65" s="10"/>
      <c r="C65" s="65" t="s">
        <v>32</v>
      </c>
      <c r="D65" s="55"/>
      <c r="E65" s="55"/>
      <c r="F65" s="55"/>
      <c r="G65" s="56"/>
      <c r="H65" s="67" t="s">
        <v>31</v>
      </c>
      <c r="I65" s="57"/>
      <c r="J65" s="58"/>
      <c r="K65" s="58"/>
      <c r="L65" s="59"/>
      <c r="M65" s="64" t="s">
        <v>31</v>
      </c>
      <c r="N65" s="60"/>
      <c r="O65" s="60"/>
      <c r="P65" s="60"/>
      <c r="Q65" s="61"/>
      <c r="R65" s="51"/>
      <c r="S65" s="51"/>
      <c r="T65" s="51"/>
      <c r="U65" s="51"/>
      <c r="V65" s="51"/>
    </row>
    <row r="66" spans="1:22" s="3" customFormat="1" x14ac:dyDescent="0.2">
      <c r="A66" s="68" t="s">
        <v>39</v>
      </c>
      <c r="B66" s="10"/>
      <c r="C66" s="50"/>
      <c r="D66" s="50"/>
      <c r="E66" s="50"/>
      <c r="F66" s="50"/>
      <c r="G66" s="50"/>
      <c r="H66" s="50"/>
      <c r="I66" s="50"/>
      <c r="J66" s="50"/>
      <c r="K66" s="50"/>
      <c r="L66" s="50"/>
      <c r="M66" s="50"/>
      <c r="N66" s="50"/>
      <c r="O66" s="65" t="s">
        <v>37</v>
      </c>
      <c r="P66" s="55"/>
      <c r="Q66" s="55"/>
      <c r="R66" s="55"/>
      <c r="S66" s="55"/>
      <c r="T66" s="55"/>
      <c r="U66" s="55"/>
      <c r="V66" s="56"/>
    </row>
    <row r="67" spans="1:22" s="3" customFormat="1" x14ac:dyDescent="0.2">
      <c r="A67" s="68" t="s">
        <v>33</v>
      </c>
      <c r="B67" s="10"/>
      <c r="C67" s="51"/>
      <c r="D67" s="51"/>
      <c r="E67" s="51"/>
      <c r="F67" s="51"/>
      <c r="G67" s="51"/>
      <c r="H67" s="51"/>
      <c r="I67" s="51"/>
      <c r="J67" s="51"/>
      <c r="K67" s="51"/>
      <c r="L67" s="51"/>
      <c r="M67" s="51"/>
      <c r="N67" s="51"/>
      <c r="O67" s="65" t="s">
        <v>32</v>
      </c>
      <c r="P67" s="55"/>
      <c r="Q67" s="55"/>
      <c r="R67" s="55"/>
      <c r="S67" s="56"/>
      <c r="T67" s="64" t="s">
        <v>31</v>
      </c>
      <c r="U67" s="60"/>
      <c r="V67" s="61"/>
    </row>
    <row r="68" spans="1:22" s="3" customFormat="1" x14ac:dyDescent="0.2">
      <c r="A68" s="68" t="s">
        <v>36</v>
      </c>
      <c r="B68" s="10"/>
      <c r="C68" s="51"/>
      <c r="D68" s="51"/>
      <c r="E68" s="51"/>
      <c r="F68" s="51"/>
      <c r="G68" s="51"/>
      <c r="H68" s="51"/>
      <c r="I68" s="51"/>
      <c r="J68" s="51"/>
      <c r="K68" s="66" t="s">
        <v>34</v>
      </c>
      <c r="L68" s="62"/>
      <c r="M68" s="62"/>
      <c r="N68" s="62"/>
      <c r="O68" s="62"/>
      <c r="P68" s="62"/>
      <c r="Q68" s="62"/>
      <c r="R68" s="62"/>
      <c r="S68" s="62"/>
      <c r="T68" s="62"/>
      <c r="U68" s="62"/>
      <c r="V68" s="63"/>
    </row>
    <row r="69" spans="1:22" s="3" customFormat="1" x14ac:dyDescent="0.2">
      <c r="A69" s="68" t="s">
        <v>40</v>
      </c>
      <c r="B69" s="10"/>
      <c r="C69" s="52"/>
      <c r="D69" s="52"/>
      <c r="E69" s="52"/>
      <c r="F69" s="52"/>
      <c r="G69" s="52"/>
      <c r="H69" s="52"/>
      <c r="I69" s="52"/>
      <c r="J69" s="52"/>
      <c r="K69" s="52"/>
      <c r="L69" s="52"/>
      <c r="M69" s="53"/>
      <c r="N69" s="53"/>
      <c r="O69" s="54"/>
      <c r="P69" s="52"/>
      <c r="Q69" s="52"/>
      <c r="R69" s="52"/>
      <c r="S69" s="52"/>
      <c r="T69" s="53"/>
      <c r="U69" s="53"/>
      <c r="V69" s="53"/>
    </row>
  </sheetData>
  <dataValidations count="1">
    <dataValidation type="list" allowBlank="1" showInputMessage="1" showErrorMessage="1" sqref="B30">
      <formula1>"Yes, No"</formula1>
    </dataValidation>
  </dataValidation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workbookViewId="0">
      <selection activeCell="I14" sqref="I14"/>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66</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t="s">
        <v>70</v>
      </c>
    </row>
    <row r="10" spans="2:9" s="34" customFormat="1" x14ac:dyDescent="0.3">
      <c r="B10" s="8" t="s">
        <v>11</v>
      </c>
      <c r="C10" s="16">
        <v>15</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69</v>
      </c>
      <c r="E14" s="28">
        <f>30000/3500</f>
        <v>8.5714285714285712</v>
      </c>
      <c r="F14" s="16">
        <v>2.25</v>
      </c>
      <c r="G14" s="27">
        <f>8.889/100*'M-A Labor Costs'!E4</f>
        <v>4.7111700000000001</v>
      </c>
      <c r="H14" s="31">
        <f>IFERROR(PV($C$9,$E14,,-PV($C$9,MAX($C$10-$E14,0),PMT($C$9,$E14,SUM($F14:$G14),,1),,1)),0)</f>
        <v>3.609460636318341</v>
      </c>
      <c r="I14" s="8" t="s">
        <v>139</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3.609460636318341</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disablePrompts="1"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14" workbookViewId="0">
      <selection activeCell="I14" sqref="I14"/>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61</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16">
        <v>18</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123</v>
      </c>
      <c r="E14" s="28">
        <f>15000/3338</f>
        <v>4.4937088076692628</v>
      </c>
      <c r="F14" s="27">
        <f>AVERAGE(2450,2000,2075)/100*('M-A Labor Costs'!$J$18/100)</f>
        <v>21.64530433974123</v>
      </c>
      <c r="G14" s="27">
        <f>AVERAGE(26.667,26.667,26.667)/100*'M-A Labor Costs'!$E$4</f>
        <v>14.133510000000001</v>
      </c>
      <c r="H14" s="31">
        <f>IFERROR(PV($C$9,$E14,,-PV($C$9,MAX($C$10-$E14,0),PMT($C$9,$E14,SUM($F14:$G14),,1),,1)),0)</f>
        <v>70.43907531155773</v>
      </c>
      <c r="I14" s="8" t="s">
        <v>141</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70.43907531155773</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v>0.05</v>
      </c>
      <c r="E29" s="21"/>
      <c r="F29" s="8"/>
      <c r="G29" s="8"/>
      <c r="H29" s="8"/>
    </row>
    <row r="30" spans="2:8" s="20" customFormat="1" x14ac:dyDescent="0.3">
      <c r="B30" s="8" t="s">
        <v>11</v>
      </c>
      <c r="C30" s="16">
        <v>18</v>
      </c>
      <c r="F30" s="8"/>
      <c r="G30" s="8"/>
      <c r="H30" s="8"/>
    </row>
    <row r="31" spans="2:8" s="20" customFormat="1" x14ac:dyDescent="0.3">
      <c r="B31" s="8" t="s">
        <v>65</v>
      </c>
      <c r="C31" s="70">
        <v>18</v>
      </c>
      <c r="D31" s="34"/>
      <c r="E31" s="38"/>
      <c r="F31" s="8"/>
      <c r="G31" s="8"/>
      <c r="H31" s="8"/>
    </row>
    <row r="32" spans="2:8" s="20" customFormat="1" x14ac:dyDescent="0.3">
      <c r="B32" s="8" t="s">
        <v>57</v>
      </c>
      <c r="C32" s="28">
        <f>C31/3</f>
        <v>6</v>
      </c>
      <c r="F32" s="8"/>
      <c r="G32" s="8"/>
      <c r="H32" s="8"/>
    </row>
    <row r="33" spans="2:11" s="20" customFormat="1" x14ac:dyDescent="0.3">
      <c r="B33" s="8" t="s">
        <v>83</v>
      </c>
      <c r="C33" s="28">
        <f>C31-C32</f>
        <v>12</v>
      </c>
      <c r="F33" s="8"/>
      <c r="G33" s="8"/>
      <c r="H33" s="8"/>
    </row>
    <row r="34" spans="2:11" s="20" customFormat="1" x14ac:dyDescent="0.3">
      <c r="B34" s="8"/>
      <c r="C34" s="38"/>
      <c r="F34" s="8"/>
      <c r="G34" s="8"/>
      <c r="H34" s="8"/>
    </row>
    <row r="35" spans="2:11" s="20" customFormat="1" ht="30" x14ac:dyDescent="0.3">
      <c r="B35" s="69" t="s">
        <v>84</v>
      </c>
      <c r="C35" s="28" t="s">
        <v>81</v>
      </c>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t="s">
        <v>123</v>
      </c>
      <c r="E40" s="28">
        <f>15000/3338</f>
        <v>4.4937088076692628</v>
      </c>
      <c r="F40" s="27">
        <f>AVERAGE(2450,2000,2075)/100*('M-A Labor Costs'!$J$18/100)</f>
        <v>21.64530433974123</v>
      </c>
      <c r="G40" s="27">
        <f>AVERAGE(26.667,26.667,26.667)/100*'M-A Labor Costs'!$E$4</f>
        <v>14.133510000000001</v>
      </c>
      <c r="H40" s="31">
        <f>IFERROR(PV($C$29,$K40-$C$33,,-PV($C$29,MAX($C$30-$K40,0),PMT($C$29,$E40,SUM($F40:$G40),,1),,1)),0)</f>
        <v>33.45109420685344</v>
      </c>
      <c r="I40" s="8" t="s">
        <v>141</v>
      </c>
      <c r="J40" s="8" t="s">
        <v>59</v>
      </c>
      <c r="K40" s="33">
        <f>IFERROR(ROUNDUP($C$33/$E40,0)*$E40,0)</f>
        <v>13.481126423007789</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t="s">
        <v>123</v>
      </c>
      <c r="E45" s="28">
        <f>15000/3338</f>
        <v>4.4937088076692628</v>
      </c>
      <c r="F45" s="27">
        <f>AVERAGE(2450,2000,2075)/100*('M-A Labor Costs'!$J$18/100)</f>
        <v>21.64530433974123</v>
      </c>
      <c r="G45" s="27">
        <f>AVERAGE(26.667,26.667,26.667)/100*'M-A Labor Costs'!$E$4</f>
        <v>14.133510000000001</v>
      </c>
      <c r="H45" s="31">
        <f>IFERROR(PV($C$29,$C$32+IF($C$35="No",$E45,0),,-PV($C$29,MAX($C$30-$C$32-IF($C$35="No",$E45,0),0),PMT($C$29,$E45,SUM($F45:$G45),,1),,1)),0)</f>
        <v>33.398712568825012</v>
      </c>
      <c r="I45" s="8" t="s">
        <v>141</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66.849806775678445</v>
      </c>
    </row>
  </sheetData>
  <dataValidations disablePrompts="1"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B37" workbookViewId="0">
      <selection activeCell="I46" sqref="I46"/>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62</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16">
        <v>12</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123</v>
      </c>
      <c r="E14" s="28">
        <f>15000/3500</f>
        <v>4.2857142857142856</v>
      </c>
      <c r="F14" s="27">
        <f>AVERAGE(2450,2000,2075)/100*('M-A Labor Costs'!$J$18/100)</f>
        <v>21.64530433974123</v>
      </c>
      <c r="G14" s="27">
        <f>AVERAGE(26.667,26.667,26.667)/100*'M-A Labor Costs'!$E$4</f>
        <v>14.133510000000001</v>
      </c>
      <c r="H14" s="31">
        <f>IFERROR(PV($C$9,$E14,,-PV($C$9,MAX($C$10-$E14,0),PMT($C$9,$E14,SUM($F14:$G14),,1),,1)),0)</f>
        <v>48.253875882890483</v>
      </c>
      <c r="I14" s="8" t="s">
        <v>141</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48.253875882890483</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v>0.05</v>
      </c>
      <c r="E29" s="21"/>
      <c r="F29" s="8"/>
      <c r="G29" s="8"/>
      <c r="H29" s="8"/>
    </row>
    <row r="30" spans="2:8" s="20" customFormat="1" x14ac:dyDescent="0.3">
      <c r="B30" s="8" t="s">
        <v>11</v>
      </c>
      <c r="C30" s="16">
        <v>12</v>
      </c>
      <c r="F30" s="8"/>
      <c r="G30" s="8"/>
      <c r="H30" s="8"/>
    </row>
    <row r="31" spans="2:8" s="20" customFormat="1" x14ac:dyDescent="0.3">
      <c r="B31" s="8" t="s">
        <v>65</v>
      </c>
      <c r="C31" s="28">
        <v>12</v>
      </c>
      <c r="D31" s="34"/>
      <c r="E31" s="38"/>
      <c r="F31" s="8"/>
      <c r="G31" s="8"/>
      <c r="H31" s="8"/>
    </row>
    <row r="32" spans="2:8" s="20" customFormat="1" x14ac:dyDescent="0.3">
      <c r="B32" s="8" t="s">
        <v>57</v>
      </c>
      <c r="C32" s="28">
        <f>C31/3</f>
        <v>4</v>
      </c>
      <c r="F32" s="8"/>
      <c r="G32" s="8"/>
      <c r="H32" s="8"/>
    </row>
    <row r="33" spans="2:11" s="20" customFormat="1" x14ac:dyDescent="0.3">
      <c r="B33" s="8" t="s">
        <v>83</v>
      </c>
      <c r="C33" s="28">
        <f>C31-C32</f>
        <v>8</v>
      </c>
      <c r="F33" s="8"/>
      <c r="G33" s="8"/>
      <c r="H33" s="8"/>
    </row>
    <row r="34" spans="2:11" s="20" customFormat="1" x14ac:dyDescent="0.3">
      <c r="B34" s="8"/>
      <c r="C34" s="38"/>
      <c r="F34" s="8"/>
      <c r="G34" s="8"/>
      <c r="H34" s="8"/>
    </row>
    <row r="35" spans="2:11" s="20" customFormat="1" ht="30" x14ac:dyDescent="0.3">
      <c r="B35" s="69" t="s">
        <v>84</v>
      </c>
      <c r="C35" s="28" t="s">
        <v>81</v>
      </c>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t="s">
        <v>123</v>
      </c>
      <c r="E40" s="28">
        <f>15000/3500</f>
        <v>4.2857142857142856</v>
      </c>
      <c r="F40" s="27">
        <f>AVERAGE(2450,2000,2075)/100*('M-A Labor Costs'!$J$18/100)</f>
        <v>21.64530433974123</v>
      </c>
      <c r="G40" s="27">
        <f>AVERAGE(26.667,26.667,26.667)/100*'M-A Labor Costs'!$E$4</f>
        <v>14.133510000000001</v>
      </c>
      <c r="H40" s="31">
        <f>IFERROR(PV($C$29,$K40-$C$33,,-PV($C$29,MAX($C$30-$K40,0),PMT($C$29,$E40,SUM($F40:$G40),,1),,1)),0)</f>
        <v>28.405617083698807</v>
      </c>
      <c r="I40" s="8" t="s">
        <v>141</v>
      </c>
      <c r="J40" s="8" t="s">
        <v>59</v>
      </c>
      <c r="K40" s="33">
        <f>IFERROR(ROUNDUP($C$33/$E40,0)*$E40,0)</f>
        <v>8.5714285714285712</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t="s">
        <v>123</v>
      </c>
      <c r="E45" s="28">
        <f>15000/3500</f>
        <v>4.2857142857142856</v>
      </c>
      <c r="F45" s="27">
        <f>AVERAGE(2450,2000,2075)/100*('M-A Labor Costs'!$J$18/100)</f>
        <v>21.64530433974123</v>
      </c>
      <c r="G45" s="27">
        <f>AVERAGE(26.667,26.667,26.667)/100*'M-A Labor Costs'!$E$4</f>
        <v>14.133510000000001</v>
      </c>
      <c r="H45" s="31">
        <f>IFERROR(PV($C$29,$C$32+IF($C$35="No",$E45,0),,-PV($C$29,MAX($C$30-$C$32-IF($C$35="No",$E45,0),0),PMT($C$29,$E45,SUM($F45:$G45),,1),,1)),0)</f>
        <v>20.97813379248899</v>
      </c>
      <c r="I45" s="8" t="s">
        <v>141</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49.383750876187797</v>
      </c>
    </row>
  </sheetData>
  <dataValidations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22" workbookViewId="0">
      <selection activeCell="I14" sqref="I14"/>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18</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16">
        <v>14</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19</v>
      </c>
      <c r="E14" s="28">
        <f>30000/3500</f>
        <v>8.5714285714285712</v>
      </c>
      <c r="F14" s="16">
        <v>1.1499999999999999</v>
      </c>
      <c r="G14" s="27">
        <f>3.19*0.7374</f>
        <v>2.352306</v>
      </c>
      <c r="H14" s="31">
        <f>IFERROR(PV($C$9,$E14,,-PV($C$9,MAX($C$10-$E14,0),PMT($C$9,$E14,SUM($F14:$G14),,1),,1)),0)</f>
        <v>1.5695308104109951</v>
      </c>
      <c r="I14" s="8" t="s">
        <v>135</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1.5695308104109951</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v>0.05</v>
      </c>
      <c r="E29" s="21"/>
      <c r="F29" s="8"/>
      <c r="G29" s="8"/>
      <c r="H29" s="8"/>
    </row>
    <row r="30" spans="2:8" s="20" customFormat="1" x14ac:dyDescent="0.3">
      <c r="B30" s="8" t="s">
        <v>11</v>
      </c>
      <c r="C30" s="16">
        <v>14</v>
      </c>
      <c r="F30" s="8"/>
      <c r="G30" s="8"/>
      <c r="H30" s="8"/>
    </row>
    <row r="31" spans="2:8" s="20" customFormat="1" x14ac:dyDescent="0.3">
      <c r="B31" s="8" t="s">
        <v>65</v>
      </c>
      <c r="C31" s="28">
        <v>14</v>
      </c>
      <c r="D31" s="34"/>
      <c r="E31" s="38"/>
      <c r="F31" s="8"/>
      <c r="G31" s="8"/>
      <c r="H31" s="8"/>
    </row>
    <row r="32" spans="2:8" s="20" customFormat="1" x14ac:dyDescent="0.3">
      <c r="B32" s="8" t="s">
        <v>57</v>
      </c>
      <c r="C32" s="28">
        <f>C31/3</f>
        <v>4.666666666666667</v>
      </c>
      <c r="F32" s="8"/>
      <c r="G32" s="8"/>
      <c r="H32" s="8"/>
    </row>
    <row r="33" spans="2:11" s="20" customFormat="1" x14ac:dyDescent="0.3">
      <c r="B33" s="8" t="s">
        <v>83</v>
      </c>
      <c r="C33" s="28">
        <f>C31-C32</f>
        <v>9.3333333333333321</v>
      </c>
      <c r="F33" s="8"/>
      <c r="G33" s="8"/>
      <c r="H33" s="8"/>
    </row>
    <row r="34" spans="2:11" s="20" customFormat="1" x14ac:dyDescent="0.3">
      <c r="B34" s="8"/>
      <c r="C34" s="38"/>
      <c r="F34" s="8"/>
      <c r="G34" s="8"/>
      <c r="H34" s="8"/>
    </row>
    <row r="35" spans="2:11" s="20" customFormat="1" ht="30" x14ac:dyDescent="0.3">
      <c r="B35" s="69" t="s">
        <v>84</v>
      </c>
      <c r="C35" s="28" t="s">
        <v>81</v>
      </c>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t="s">
        <v>19</v>
      </c>
      <c r="E40" s="28">
        <f>30000/3500</f>
        <v>8.5714285714285712</v>
      </c>
      <c r="F40" s="16">
        <v>1.1499999999999999</v>
      </c>
      <c r="G40" s="27">
        <f>3.19*0.7374</f>
        <v>2.352306</v>
      </c>
      <c r="H40" s="31">
        <f>IFERROR(PV($C$29,$K40-$C$33,,-PV($C$29,MAX($C$30-$K40,0),PMT($C$29,$E40,SUM($F40:$G40),,1),,1)),0)</f>
        <v>0</v>
      </c>
      <c r="I40" s="8" t="s">
        <v>134</v>
      </c>
      <c r="J40" s="8" t="s">
        <v>59</v>
      </c>
      <c r="K40" s="33">
        <f>IFERROR(ROUNDUP($C$33/$E40,0)*$E40,0)</f>
        <v>17.142857142857142</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t="s">
        <v>19</v>
      </c>
      <c r="E45" s="28">
        <f>30000/3500</f>
        <v>8.5714285714285712</v>
      </c>
      <c r="F45" s="16">
        <v>1.1499999999999999</v>
      </c>
      <c r="G45" s="27">
        <f>3.19*0.7374</f>
        <v>2.352306</v>
      </c>
      <c r="H45" s="31">
        <f>IFERROR(PV($C$29,$C$32+IF($C$35="No",$E45,0),,-PV($C$29,MAX($C$30-$C$32-IF($C$35="No",$E45,0),0),PMT($C$29,$E45,SUM($F45:$G45),,1),,1)),0)</f>
        <v>0.19601964380592427</v>
      </c>
      <c r="I45" s="8" t="s">
        <v>134</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0.19601964380592427</v>
      </c>
    </row>
  </sheetData>
  <dataValidations disablePrompts="1"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34" workbookViewId="0">
      <selection activeCell="F30" sqref="F30"/>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124</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16">
        <v>21</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123</v>
      </c>
      <c r="E14" s="28">
        <f>15000/3338</f>
        <v>4.4937088076692628</v>
      </c>
      <c r="F14" s="27">
        <f>AVERAGE(2450,2000,2075)/100*('M-A Labor Costs'!$J$18/100)</f>
        <v>21.64530433974123</v>
      </c>
      <c r="G14" s="27">
        <f>AVERAGE(26.667,26.667,26.667)/100*'M-A Labor Costs'!$E$4</f>
        <v>14.133510000000001</v>
      </c>
      <c r="H14" s="31">
        <f>IFERROR(PV($C$9,$E14,,-PV($C$9,MAX($C$10-$E14,0),PMT($C$9,$E14,SUM($F14:$G14),,1),,1)),0)</f>
        <v>80.721092354569251</v>
      </c>
      <c r="I14" s="8" t="s">
        <v>141</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80.721092354569251</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v>0.05</v>
      </c>
      <c r="E29" s="21"/>
      <c r="F29" s="8"/>
      <c r="G29" s="8"/>
      <c r="H29" s="8"/>
    </row>
    <row r="30" spans="2:8" s="20" customFormat="1" x14ac:dyDescent="0.3">
      <c r="B30" s="8" t="s">
        <v>11</v>
      </c>
      <c r="C30" s="16">
        <v>21</v>
      </c>
      <c r="F30" s="8"/>
      <c r="G30" s="8"/>
      <c r="H30" s="8"/>
    </row>
    <row r="31" spans="2:8" s="20" customFormat="1" x14ac:dyDescent="0.3">
      <c r="B31" s="8" t="s">
        <v>65</v>
      </c>
      <c r="C31" s="28">
        <v>21</v>
      </c>
      <c r="D31" s="34"/>
      <c r="E31" s="38"/>
      <c r="F31" s="8"/>
      <c r="G31" s="8"/>
      <c r="H31" s="8"/>
    </row>
    <row r="32" spans="2:8" s="20" customFormat="1" x14ac:dyDescent="0.3">
      <c r="B32" s="8" t="s">
        <v>57</v>
      </c>
      <c r="C32" s="28">
        <f>C31/3</f>
        <v>7</v>
      </c>
      <c r="F32" s="8"/>
      <c r="G32" s="8"/>
      <c r="H32" s="8"/>
    </row>
    <row r="33" spans="2:11" s="20" customFormat="1" x14ac:dyDescent="0.3">
      <c r="B33" s="8" t="s">
        <v>83</v>
      </c>
      <c r="C33" s="28">
        <f>C31-C32</f>
        <v>14</v>
      </c>
      <c r="F33" s="8"/>
      <c r="G33" s="8"/>
      <c r="H33" s="8"/>
    </row>
    <row r="34" spans="2:11" s="20" customFormat="1" x14ac:dyDescent="0.3">
      <c r="B34" s="8"/>
      <c r="C34" s="38"/>
      <c r="F34" s="8"/>
      <c r="G34" s="8"/>
      <c r="H34" s="8"/>
    </row>
    <row r="35" spans="2:11" s="20" customFormat="1" ht="30" x14ac:dyDescent="0.3">
      <c r="B35" s="69" t="s">
        <v>84</v>
      </c>
      <c r="C35" s="28" t="s">
        <v>81</v>
      </c>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t="s">
        <v>123</v>
      </c>
      <c r="E40" s="28">
        <f>15000/3338</f>
        <v>4.4937088076692628</v>
      </c>
      <c r="F40" s="27">
        <f>AVERAGE(2450,2000,2075)/100*('M-A Labor Costs'!$J$18/100)</f>
        <v>21.64530433974123</v>
      </c>
      <c r="G40" s="27">
        <f>AVERAGE(26.667,26.667,26.667)/100*'M-A Labor Costs'!$E$4</f>
        <v>14.133510000000001</v>
      </c>
      <c r="H40" s="31">
        <f>IFERROR(PV($C$29,$K40-$C$33,,-PV($C$29,MAX($C$30-$K40,0),PMT($C$29,$E40,SUM($F40:$G40),,1),,1)),0)</f>
        <v>20.541371001634978</v>
      </c>
      <c r="I40" s="8" t="s">
        <v>141</v>
      </c>
      <c r="J40" s="8" t="s">
        <v>59</v>
      </c>
      <c r="K40" s="33">
        <f>IFERROR(ROUNDUP($C$33/$E40,0)*$E40,0)</f>
        <v>17.974835230677051</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t="s">
        <v>123</v>
      </c>
      <c r="E45" s="28">
        <f>15000/3338</f>
        <v>4.4937088076692628</v>
      </c>
      <c r="F45" s="27">
        <f>AVERAGE(2450,2000,2075)/100*('M-A Labor Costs'!$J$18/100)</f>
        <v>21.64530433974123</v>
      </c>
      <c r="G45" s="27">
        <f>AVERAGE(26.667,26.667,26.667)/100*'M-A Labor Costs'!$E$4</f>
        <v>14.133510000000001</v>
      </c>
      <c r="H45" s="31">
        <f>IFERROR(PV($C$29,$C$32+IF($C$35="No",$E45,0),,-PV($C$29,MAX($C$30-$C$32-IF($C$35="No",$E45,0),0),PMT($C$29,$E45,SUM($F45:$G45),,1),,1)),0)</f>
        <v>38.494462613437001</v>
      </c>
      <c r="I45" s="8" t="s">
        <v>141</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59.035833615071979</v>
      </c>
    </row>
  </sheetData>
  <dataValidations disablePrompts="1"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46" workbookViewId="0">
      <selection activeCell="I45" sqref="I45"/>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124</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16">
        <v>8</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123</v>
      </c>
      <c r="E14" s="28">
        <f>15000/8760</f>
        <v>1.7123287671232876</v>
      </c>
      <c r="F14" s="27">
        <f>AVERAGE(2450,2000,2075)/100*('M-A Labor Costs'!$J$18/100)</f>
        <v>21.64530433974123</v>
      </c>
      <c r="G14" s="27">
        <f>AVERAGE(26.667,26.667,26.667)/100*'M-A Labor Costs'!$E$4</f>
        <v>14.133510000000001</v>
      </c>
      <c r="H14" s="31">
        <f>IFERROR(PV($C$9,$E14,,-PV($C$9,MAX($C$10-$E14,0),PMT($C$9,$E14,SUM($F14:$G14),,1),,1)),0)</f>
        <v>108.47928207874109</v>
      </c>
      <c r="I14" s="8" t="s">
        <v>136</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108.47928207874109</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v>0.05</v>
      </c>
      <c r="E29" s="21"/>
      <c r="F29" s="8"/>
      <c r="G29" s="8"/>
      <c r="H29" s="8"/>
    </row>
    <row r="30" spans="2:8" s="20" customFormat="1" x14ac:dyDescent="0.3">
      <c r="B30" s="8" t="s">
        <v>11</v>
      </c>
      <c r="C30" s="16">
        <v>8</v>
      </c>
      <c r="F30" s="8"/>
      <c r="G30" s="8"/>
      <c r="H30" s="8"/>
    </row>
    <row r="31" spans="2:8" s="20" customFormat="1" x14ac:dyDescent="0.3">
      <c r="B31" s="8" t="s">
        <v>65</v>
      </c>
      <c r="C31" s="28">
        <v>8</v>
      </c>
      <c r="D31" s="34"/>
      <c r="E31" s="38"/>
      <c r="F31" s="8"/>
      <c r="G31" s="8"/>
      <c r="H31" s="8"/>
    </row>
    <row r="32" spans="2:8" s="20" customFormat="1" x14ac:dyDescent="0.3">
      <c r="B32" s="8" t="s">
        <v>57</v>
      </c>
      <c r="C32" s="28">
        <f>C31/3</f>
        <v>2.6666666666666665</v>
      </c>
      <c r="F32" s="8"/>
      <c r="G32" s="8"/>
      <c r="H32" s="8"/>
    </row>
    <row r="33" spans="2:11" s="20" customFormat="1" x14ac:dyDescent="0.3">
      <c r="B33" s="8" t="s">
        <v>83</v>
      </c>
      <c r="C33" s="28">
        <f>C31-C32</f>
        <v>5.3333333333333339</v>
      </c>
      <c r="F33" s="8"/>
      <c r="G33" s="8"/>
      <c r="H33" s="8"/>
    </row>
    <row r="34" spans="2:11" s="20" customFormat="1" x14ac:dyDescent="0.3">
      <c r="B34" s="8"/>
      <c r="C34" s="38"/>
      <c r="F34" s="8"/>
      <c r="G34" s="8"/>
      <c r="H34" s="8"/>
    </row>
    <row r="35" spans="2:11" s="20" customFormat="1" ht="30" x14ac:dyDescent="0.3">
      <c r="B35" s="69" t="s">
        <v>84</v>
      </c>
      <c r="C35" s="28" t="s">
        <v>81</v>
      </c>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t="s">
        <v>123</v>
      </c>
      <c r="E40" s="28">
        <f>15000/8760</f>
        <v>1.7123287671232876</v>
      </c>
      <c r="F40" s="27">
        <f>AVERAGE(2450,2000,2075)/100*('M-A Labor Costs'!$J$18/100)</f>
        <v>21.64530433974123</v>
      </c>
      <c r="G40" s="27">
        <f>AVERAGE(26.667,26.667,26.667)/100*'M-A Labor Costs'!$E$4</f>
        <v>14.133510000000001</v>
      </c>
      <c r="H40" s="31">
        <f>IFERROR(PV($C$29,$K40-$C$33,,-PV($C$29,MAX($C$30-$K40,0),PMT($C$29,$E40,SUM($F40:$G40),,1),,1)),0)</f>
        <v>22.633607815984455</v>
      </c>
      <c r="I40" s="8" t="s">
        <v>136</v>
      </c>
      <c r="J40" s="8" t="s">
        <v>59</v>
      </c>
      <c r="K40" s="33">
        <f>IFERROR(ROUNDUP($C$33/$E40,0)*$E40,0)</f>
        <v>6.8493150684931505</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t="s">
        <v>123</v>
      </c>
      <c r="E45" s="28">
        <f>15000/8760</f>
        <v>1.7123287671232876</v>
      </c>
      <c r="F45" s="27">
        <f>AVERAGE(2450,2000,2075)/100*('M-A Labor Costs'!$J$18/100)</f>
        <v>21.64530433974123</v>
      </c>
      <c r="G45" s="27">
        <f>AVERAGE(26.667,26.667,26.667)/100*'M-A Labor Costs'!$E$4</f>
        <v>14.133510000000001</v>
      </c>
      <c r="H45" s="31">
        <f>IFERROR(PV($C$29,$C$32+IF($C$35="No",$E45,0),,-PV($C$29,MAX($C$30-$C$32-IF($C$35="No",$E45,0),0),PMT($C$29,$E45,SUM($F45:$G45),,1),,1)),0)</f>
        <v>58.384374065666769</v>
      </c>
      <c r="I45" s="8" t="s">
        <v>136</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81.017981881651224</v>
      </c>
    </row>
  </sheetData>
  <dataValidations disablePrompts="1"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opLeftCell="A31" workbookViewId="0">
      <selection activeCell="I14" sqref="I14"/>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127</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28">
        <f>15000/3500</f>
        <v>4.2857142857142856</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128</v>
      </c>
      <c r="E14" s="28">
        <f>1000/3500</f>
        <v>0.2857142857142857</v>
      </c>
      <c r="F14" s="16">
        <v>1.52</v>
      </c>
      <c r="G14" s="27">
        <f>0.05*'M-A Labor Costs'!E4</f>
        <v>2.6500000000000004</v>
      </c>
      <c r="H14" s="31">
        <f>IFERROR(PV($C$9,$E14,,-PV($C$9,MAX($C$10-$E14,0),PMT($C$9,$E14,SUM($F14:$G14),,1),,1)),0)</f>
        <v>52.667649212672544</v>
      </c>
      <c r="I14" s="20" t="s">
        <v>140</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52.667649212672544</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workbookViewId="0">
      <selection activeCell="J14" sqref="J14"/>
    </sheetView>
  </sheetViews>
  <sheetFormatPr defaultRowHeight="15" x14ac:dyDescent="0.3"/>
  <cols>
    <col min="1" max="1" width="2.7109375" style="8" customWidth="1"/>
    <col min="2" max="2" width="27.42578125" style="8" customWidth="1"/>
    <col min="3" max="3" width="8.5703125" style="8" customWidth="1"/>
    <col min="4" max="4" width="34.28515625" style="8" customWidth="1"/>
    <col min="5" max="5" width="11.42578125" style="8" customWidth="1"/>
    <col min="6" max="6" width="16.140625" style="8" customWidth="1"/>
    <col min="7" max="7" width="13.7109375" style="8" customWidth="1"/>
    <col min="8" max="8" width="11.140625" style="8" customWidth="1"/>
    <col min="9" max="9" width="9.140625" style="8"/>
    <col min="10" max="10" width="34.85546875" style="8" customWidth="1"/>
    <col min="11" max="16384" width="9.140625" style="8"/>
  </cols>
  <sheetData>
    <row r="1" spans="2:9" ht="10.5" customHeight="1" x14ac:dyDescent="0.3"/>
    <row r="2" spans="2:9" s="14" customFormat="1" ht="23.25" x14ac:dyDescent="0.35">
      <c r="B2" s="13" t="s">
        <v>21</v>
      </c>
    </row>
    <row r="4" spans="2:9" ht="18" x14ac:dyDescent="0.35">
      <c r="B4" s="9" t="s">
        <v>5</v>
      </c>
      <c r="C4" s="15" t="s">
        <v>127</v>
      </c>
    </row>
    <row r="6" spans="2:9" s="14" customFormat="1" x14ac:dyDescent="0.3">
      <c r="B6" s="36" t="s">
        <v>6</v>
      </c>
      <c r="C6" s="16" t="s">
        <v>1</v>
      </c>
    </row>
    <row r="7" spans="2:9" s="34" customFormat="1" x14ac:dyDescent="0.3">
      <c r="B7" s="37"/>
    </row>
    <row r="8" spans="2:9" s="34" customFormat="1" x14ac:dyDescent="0.3">
      <c r="B8" s="17" t="s">
        <v>64</v>
      </c>
      <c r="C8" s="8"/>
      <c r="E8" s="17" t="s">
        <v>63</v>
      </c>
      <c r="H8" s="35"/>
    </row>
    <row r="9" spans="2:9" s="34" customFormat="1" x14ac:dyDescent="0.3">
      <c r="B9" s="8" t="s">
        <v>2</v>
      </c>
      <c r="C9" s="16">
        <v>0.05</v>
      </c>
      <c r="E9" s="16"/>
    </row>
    <row r="10" spans="2:9" s="34" customFormat="1" x14ac:dyDescent="0.3">
      <c r="B10" s="8" t="s">
        <v>11</v>
      </c>
      <c r="C10" s="28">
        <f>15000/3500</f>
        <v>4.2857142857142856</v>
      </c>
    </row>
    <row r="11" spans="2:9" s="34" customFormat="1" x14ac:dyDescent="0.3">
      <c r="B11" s="37"/>
    </row>
    <row r="12" spans="2:9" x14ac:dyDescent="0.3">
      <c r="B12" s="17" t="s">
        <v>7</v>
      </c>
    </row>
    <row r="13" spans="2:9" x14ac:dyDescent="0.3">
      <c r="D13" s="8" t="s">
        <v>9</v>
      </c>
      <c r="E13" s="18" t="s">
        <v>10</v>
      </c>
      <c r="F13" s="18" t="s">
        <v>15</v>
      </c>
      <c r="G13" s="18" t="s">
        <v>16</v>
      </c>
      <c r="H13" s="8" t="s">
        <v>4</v>
      </c>
    </row>
    <row r="14" spans="2:9" s="20" customFormat="1" x14ac:dyDescent="0.3">
      <c r="B14" s="19"/>
      <c r="C14" s="19" t="s">
        <v>8</v>
      </c>
      <c r="D14" s="16" t="s">
        <v>131</v>
      </c>
      <c r="E14" s="28">
        <f>1000/3500</f>
        <v>0.2857142857142857</v>
      </c>
      <c r="F14" s="16">
        <v>1.58</v>
      </c>
      <c r="G14" s="27">
        <f>0.05*'M-A Labor Costs'!E4</f>
        <v>2.6500000000000004</v>
      </c>
      <c r="H14" s="31">
        <f>IFERROR(PV($C$9,$E14,,-PV($C$9,MAX($C$10-$E14,0),PMT($C$9,$E14,SUM($F14:$G14),,1),,1)),0)</f>
        <v>53.42545711501316</v>
      </c>
      <c r="I14" s="20" t="s">
        <v>140</v>
      </c>
    </row>
    <row r="15" spans="2:9" s="20" customFormat="1" x14ac:dyDescent="0.3">
      <c r="B15" s="19"/>
      <c r="C15" s="19" t="s">
        <v>12</v>
      </c>
      <c r="D15" s="16"/>
      <c r="E15" s="16"/>
      <c r="F15" s="16"/>
      <c r="G15" s="16"/>
      <c r="H15" s="31">
        <f>IFERROR(PV($C$9,$E15,,-PV($C$9,MAX($C$10-$E15,0),PMT($C$9,$E15,SUM($F15:$G15),,1),,1)),0)</f>
        <v>0</v>
      </c>
    </row>
    <row r="16" spans="2:9" s="20" customFormat="1" x14ac:dyDescent="0.3">
      <c r="B16" s="19"/>
      <c r="D16" s="8"/>
      <c r="E16" s="8"/>
      <c r="F16" s="8"/>
      <c r="G16" s="8"/>
    </row>
    <row r="17" spans="2:8" s="20" customFormat="1" x14ac:dyDescent="0.3">
      <c r="B17" s="17" t="s">
        <v>13</v>
      </c>
    </row>
    <row r="18" spans="2:8" s="20" customFormat="1" x14ac:dyDescent="0.3">
      <c r="D18" s="8" t="s">
        <v>9</v>
      </c>
      <c r="E18" s="18" t="s">
        <v>10</v>
      </c>
      <c r="F18" s="18" t="s">
        <v>15</v>
      </c>
      <c r="G18" s="18" t="s">
        <v>16</v>
      </c>
      <c r="H18" s="8" t="s">
        <v>4</v>
      </c>
    </row>
    <row r="19" spans="2:8" s="20" customFormat="1" x14ac:dyDescent="0.3">
      <c r="B19" s="19"/>
      <c r="C19" s="19" t="s">
        <v>14</v>
      </c>
      <c r="D19" s="16"/>
      <c r="E19" s="16"/>
      <c r="F19" s="16"/>
      <c r="G19" s="16"/>
      <c r="H19" s="31">
        <f>IFERROR(PV($C$9,$E19,,-PV($C$9,MAX($C$10-$E19,0),PMT($C$9,$E19,SUM($F19:$G19),,1),,1)),0)</f>
        <v>0</v>
      </c>
    </row>
    <row r="20" spans="2:8" s="20" customFormat="1" x14ac:dyDescent="0.3">
      <c r="B20" s="19"/>
      <c r="C20" s="19" t="s">
        <v>17</v>
      </c>
      <c r="D20" s="21"/>
      <c r="E20" s="21"/>
      <c r="F20" s="21"/>
      <c r="G20" s="21"/>
      <c r="H20" s="31">
        <f>IFERROR(PV($C$9,$E20,,-PV($C$9,MAX($C$10-$E20,0),PMT($C$9,$E20,SUM($F20:$G20),,1),,1)),0)</f>
        <v>0</v>
      </c>
    </row>
    <row r="21" spans="2:8" s="20" customFormat="1" x14ac:dyDescent="0.3">
      <c r="B21" s="22"/>
    </row>
    <row r="22" spans="2:8" s="20" customFormat="1" ht="15.75" thickBot="1" x14ac:dyDescent="0.35">
      <c r="B22" s="23" t="s">
        <v>20</v>
      </c>
    </row>
    <row r="23" spans="2:8" s="20" customFormat="1" x14ac:dyDescent="0.3">
      <c r="H23" s="24" t="s">
        <v>0</v>
      </c>
    </row>
    <row r="24" spans="2:8" s="20" customFormat="1" ht="15.75" thickBot="1" x14ac:dyDescent="0.35">
      <c r="H24" s="26">
        <f>SUM(H14:H15)-SUM(H19:H20)</f>
        <v>53.42545711501316</v>
      </c>
    </row>
    <row r="25" spans="2:8" s="20" customFormat="1" x14ac:dyDescent="0.3">
      <c r="H25" s="25"/>
    </row>
    <row r="26" spans="2:8" s="14" customFormat="1" x14ac:dyDescent="0.3">
      <c r="B26" s="36" t="s">
        <v>6</v>
      </c>
      <c r="C26" s="16" t="s">
        <v>58</v>
      </c>
    </row>
    <row r="27" spans="2:8" s="20" customFormat="1" x14ac:dyDescent="0.3">
      <c r="B27" s="22"/>
    </row>
    <row r="28" spans="2:8" s="20" customFormat="1" x14ac:dyDescent="0.3">
      <c r="B28" s="17" t="s">
        <v>64</v>
      </c>
      <c r="C28" s="8"/>
      <c r="D28" s="17"/>
      <c r="E28" s="17" t="s">
        <v>63</v>
      </c>
      <c r="F28" s="8"/>
      <c r="G28" s="8"/>
      <c r="H28" s="8"/>
    </row>
    <row r="29" spans="2:8" s="20" customFormat="1" x14ac:dyDescent="0.3">
      <c r="B29" s="8" t="s">
        <v>2</v>
      </c>
      <c r="C29" s="16"/>
      <c r="E29" s="21"/>
      <c r="F29" s="8"/>
      <c r="G29" s="8"/>
      <c r="H29" s="8"/>
    </row>
    <row r="30" spans="2:8" s="20" customFormat="1" x14ac:dyDescent="0.3">
      <c r="B30" s="8" t="s">
        <v>11</v>
      </c>
      <c r="C30" s="16"/>
      <c r="F30" s="8"/>
      <c r="G30" s="8"/>
      <c r="H30" s="8"/>
    </row>
    <row r="31" spans="2:8" s="20" customFormat="1" x14ac:dyDescent="0.3">
      <c r="B31" s="8" t="s">
        <v>65</v>
      </c>
      <c r="C31" s="28"/>
      <c r="D31" s="34"/>
      <c r="E31" s="38"/>
      <c r="F31" s="8"/>
      <c r="G31" s="8"/>
      <c r="H31" s="8"/>
    </row>
    <row r="32" spans="2:8" s="20" customFormat="1" x14ac:dyDescent="0.3">
      <c r="B32" s="8" t="s">
        <v>57</v>
      </c>
      <c r="C32" s="28"/>
      <c r="F32" s="8"/>
      <c r="G32" s="8"/>
      <c r="H32" s="8"/>
    </row>
    <row r="33" spans="2:11" s="20" customFormat="1" x14ac:dyDescent="0.3">
      <c r="B33" s="8" t="s">
        <v>83</v>
      </c>
      <c r="C33" s="28"/>
      <c r="F33" s="8"/>
      <c r="G33" s="8"/>
      <c r="H33" s="8"/>
    </row>
    <row r="34" spans="2:11" s="20" customFormat="1" x14ac:dyDescent="0.3">
      <c r="B34" s="8"/>
      <c r="C34" s="38"/>
      <c r="F34" s="8"/>
      <c r="G34" s="8"/>
      <c r="H34" s="8"/>
    </row>
    <row r="35" spans="2:11" s="20" customFormat="1" ht="30" x14ac:dyDescent="0.3">
      <c r="B35" s="69" t="s">
        <v>84</v>
      </c>
      <c r="C35" s="28"/>
      <c r="F35" s="8"/>
      <c r="G35" s="8"/>
      <c r="H35" s="8"/>
    </row>
    <row r="36" spans="2:11" s="20" customFormat="1" x14ac:dyDescent="0.3">
      <c r="B36" s="8"/>
      <c r="C36" s="38"/>
      <c r="F36" s="8"/>
      <c r="G36" s="8"/>
      <c r="H36" s="8"/>
    </row>
    <row r="37" spans="2:11" s="20" customFormat="1" x14ac:dyDescent="0.3">
      <c r="B37" s="8"/>
      <c r="C37" s="34"/>
      <c r="D37" s="34"/>
      <c r="E37" s="38"/>
      <c r="F37" s="8"/>
      <c r="G37" s="8"/>
      <c r="H37" s="8"/>
    </row>
    <row r="38" spans="2:11" x14ac:dyDescent="0.3">
      <c r="B38" s="17" t="s">
        <v>54</v>
      </c>
    </row>
    <row r="39" spans="2:11" x14ac:dyDescent="0.3">
      <c r="D39" s="8" t="s">
        <v>9</v>
      </c>
      <c r="E39" s="18" t="s">
        <v>10</v>
      </c>
      <c r="F39" s="18" t="s">
        <v>15</v>
      </c>
      <c r="G39" s="18" t="s">
        <v>16</v>
      </c>
      <c r="H39" s="8" t="s">
        <v>4</v>
      </c>
      <c r="J39" s="17" t="s">
        <v>56</v>
      </c>
    </row>
    <row r="40" spans="2:11" x14ac:dyDescent="0.3">
      <c r="B40" s="19"/>
      <c r="C40" s="19" t="s">
        <v>8</v>
      </c>
      <c r="D40" s="16"/>
      <c r="E40" s="28"/>
      <c r="F40" s="16"/>
      <c r="G40" s="16"/>
      <c r="H40" s="31">
        <f>IFERROR(PV($C$29,$K40-$C$33,,-PV($C$29,MAX($C$30-$K40,0),PMT($C$29,$E40,SUM($F40:$G40),,1),,1)),0)</f>
        <v>0</v>
      </c>
      <c r="J40" s="8" t="s">
        <v>59</v>
      </c>
      <c r="K40" s="33">
        <f>IFERROR(ROUNDUP($C$33/$E40,0)*$E40,0)</f>
        <v>0</v>
      </c>
    </row>
    <row r="41" spans="2:11" x14ac:dyDescent="0.3">
      <c r="B41" s="19"/>
      <c r="C41" s="19" t="s">
        <v>12</v>
      </c>
      <c r="D41" s="16"/>
      <c r="E41" s="16"/>
      <c r="F41" s="16"/>
      <c r="G41" s="16"/>
      <c r="H41" s="31">
        <f>IFERROR(PV($C$29,$K41-$C$33,,-PV($C$29,MAX($C$30-$K41,0),PMT($C$29,$E41,SUM($F41:$G41),,1),,1)),0)</f>
        <v>0</v>
      </c>
      <c r="J41" s="8" t="s">
        <v>59</v>
      </c>
      <c r="K41" s="33">
        <f>IFERROR(ROUNDUP($C$33/$E41,0)*$E41,0)</f>
        <v>0</v>
      </c>
    </row>
    <row r="42" spans="2:11" x14ac:dyDescent="0.3">
      <c r="B42" s="19"/>
      <c r="C42" s="19"/>
      <c r="D42" s="34"/>
      <c r="E42" s="34"/>
      <c r="F42" s="34"/>
      <c r="G42" s="34"/>
      <c r="H42" s="35"/>
    </row>
    <row r="43" spans="2:11" x14ac:dyDescent="0.3">
      <c r="B43" s="17" t="s">
        <v>55</v>
      </c>
      <c r="C43" s="19"/>
      <c r="D43" s="34"/>
      <c r="E43" s="34"/>
      <c r="F43" s="34"/>
      <c r="G43" s="34"/>
      <c r="H43" s="35"/>
    </row>
    <row r="44" spans="2:11" x14ac:dyDescent="0.3">
      <c r="D44" s="8" t="s">
        <v>9</v>
      </c>
      <c r="E44" s="18" t="s">
        <v>10</v>
      </c>
      <c r="F44" s="18" t="s">
        <v>15</v>
      </c>
      <c r="G44" s="18" t="s">
        <v>16</v>
      </c>
      <c r="H44" s="8" t="s">
        <v>4</v>
      </c>
    </row>
    <row r="45" spans="2:11" x14ac:dyDescent="0.3">
      <c r="B45" s="19"/>
      <c r="C45" s="19" t="s">
        <v>8</v>
      </c>
      <c r="D45" s="16"/>
      <c r="E45" s="28"/>
      <c r="F45" s="16"/>
      <c r="G45" s="16"/>
      <c r="H45" s="31">
        <f>IFERROR(PV($C$29,$C$32+IF($C$35="No",$E45,0),,-PV($C$29,MAX($C$30-$C$32-IF($C$35="No",$E45,0),0),PMT($C$29,$E45,SUM($F45:$G45),,1),,1)),0)</f>
        <v>0</v>
      </c>
    </row>
    <row r="46" spans="2:11" x14ac:dyDescent="0.3">
      <c r="B46" s="19"/>
      <c r="C46" s="19" t="s">
        <v>12</v>
      </c>
      <c r="D46" s="16"/>
      <c r="E46" s="16"/>
      <c r="F46" s="16"/>
      <c r="G46" s="16"/>
      <c r="H46" s="31">
        <f>IFERROR(PV($C$29,$C$32+IF($C$35="No",$E46,0),,-PV($C$29,MAX($C$30-$C$32-IF($C$35="No",$E46,0),0),PMT($C$29,$E46,SUM($F46:$G46),,1),,1)),0)</f>
        <v>0</v>
      </c>
    </row>
    <row r="47" spans="2:11" x14ac:dyDescent="0.3">
      <c r="B47" s="19"/>
      <c r="C47" s="20"/>
      <c r="H47" s="20"/>
    </row>
    <row r="48" spans="2:11" x14ac:dyDescent="0.3">
      <c r="B48" s="17" t="s">
        <v>13</v>
      </c>
      <c r="C48" s="20"/>
      <c r="D48" s="20"/>
      <c r="E48" s="20"/>
      <c r="F48" s="20"/>
      <c r="G48" s="20"/>
      <c r="H48" s="20"/>
    </row>
    <row r="49" spans="2:8" x14ac:dyDescent="0.3">
      <c r="B49" s="20"/>
      <c r="C49" s="20"/>
      <c r="D49" s="8" t="s">
        <v>9</v>
      </c>
      <c r="E49" s="18" t="s">
        <v>10</v>
      </c>
      <c r="F49" s="18" t="s">
        <v>15</v>
      </c>
      <c r="G49" s="18" t="s">
        <v>16</v>
      </c>
      <c r="H49" s="8" t="s">
        <v>4</v>
      </c>
    </row>
    <row r="50" spans="2:8" x14ac:dyDescent="0.3">
      <c r="B50" s="19"/>
      <c r="C50" s="19" t="s">
        <v>14</v>
      </c>
      <c r="D50" s="16"/>
      <c r="E50" s="16"/>
      <c r="F50" s="16"/>
      <c r="G50" s="16"/>
      <c r="H50" s="31">
        <f>IFERROR(PV($C$29,$E50,,-PV($C$29,MAX($C$30-$E50,0),PMT($C$29,$E50,SUM($F50:$G50),,1),,1)),0)</f>
        <v>0</v>
      </c>
    </row>
    <row r="51" spans="2:8" x14ac:dyDescent="0.3">
      <c r="B51" s="19"/>
      <c r="C51" s="19" t="s">
        <v>17</v>
      </c>
      <c r="D51" s="21"/>
      <c r="E51" s="21"/>
      <c r="F51" s="21"/>
      <c r="G51" s="21"/>
      <c r="H51" s="31">
        <f>IFERROR(PV($C$29,$E51,,-PV($C$29,MAX($C$30-$E51,0),PMT($C$29,$E51,SUM($F51:$G51),,1),,1)),0)</f>
        <v>0</v>
      </c>
    </row>
    <row r="52" spans="2:8" x14ac:dyDescent="0.3">
      <c r="B52" s="22"/>
      <c r="C52" s="20"/>
      <c r="D52" s="20"/>
      <c r="E52" s="20"/>
      <c r="F52" s="20"/>
      <c r="G52" s="20"/>
      <c r="H52" s="20"/>
    </row>
    <row r="53" spans="2:8" ht="15.75" thickBot="1" x14ac:dyDescent="0.35">
      <c r="B53" s="23" t="s">
        <v>20</v>
      </c>
      <c r="C53" s="20"/>
      <c r="D53" s="20"/>
      <c r="E53" s="20"/>
      <c r="F53" s="20"/>
      <c r="G53" s="20"/>
      <c r="H53" s="20"/>
    </row>
    <row r="54" spans="2:8" x14ac:dyDescent="0.3">
      <c r="B54" s="20"/>
      <c r="C54" s="20"/>
      <c r="D54" s="20"/>
      <c r="E54" s="20"/>
      <c r="F54" s="20"/>
      <c r="G54" s="20"/>
      <c r="H54" s="24" t="s">
        <v>0</v>
      </c>
    </row>
    <row r="55" spans="2:8" ht="15.75" thickBot="1" x14ac:dyDescent="0.35">
      <c r="B55" s="25"/>
      <c r="C55" s="20"/>
      <c r="D55" s="20"/>
      <c r="E55" s="20"/>
      <c r="F55" s="20"/>
      <c r="G55" s="20"/>
      <c r="H55" s="26">
        <f>SUM(H40:H41,H45:H46)-SUM(H50:H51)</f>
        <v>0</v>
      </c>
    </row>
  </sheetData>
  <dataValidations count="1">
    <dataValidation type="list" allowBlank="1" showInputMessage="1" showErrorMessage="1" sqref="C35">
      <formula1>"Yes, No"</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O&amp;M calc-LED Exit Sign</vt:lpstr>
      <vt:lpstr>O&amp;M calc-Delamping</vt:lpstr>
      <vt:lpstr>O&amp;M calc-LED Otdr Pole Arm</vt:lpstr>
      <vt:lpstr>O&amp;M calc-LED High-Bay</vt:lpstr>
      <vt:lpstr>O&amp;M calc-LED 1x4, 2x2, 2x4</vt:lpstr>
      <vt:lpstr>O&amp;M calc-LED Canopy</vt:lpstr>
      <vt:lpstr>O&amp;M calc-LED Prkng Garage</vt:lpstr>
      <vt:lpstr>O&amp;M calc-ES SSL, Unknown</vt:lpstr>
      <vt:lpstr>O&amp;M calc-ES SSL, Globe</vt:lpstr>
      <vt:lpstr>O&amp;M calc-ES SSL, Reflector</vt:lpstr>
      <vt:lpstr>O&amp;M calc-ES SSL, A Lamp</vt:lpstr>
      <vt:lpstr>O&amp;M calc-ES SSL, Candelabra</vt:lpstr>
      <vt:lpstr>O&amp;M calc-LED Ref Case</vt:lpstr>
      <vt:lpstr>M-A Labor Costs</vt:lpstr>
      <vt:lpstr>O&amp;M calc - TEMPLATE</vt:lpstr>
      <vt:lpstr>Calculation Details</vt:lpstr>
    </vt:vector>
  </TitlesOfParts>
  <Company>VEIC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sdent</dc:creator>
  <cp:lastModifiedBy>Matt Socks</cp:lastModifiedBy>
  <dcterms:created xsi:type="dcterms:W3CDTF">2010-08-10T10:29:23Z</dcterms:created>
  <dcterms:modified xsi:type="dcterms:W3CDTF">2017-05-25T20:12:39Z</dcterms:modified>
</cp:coreProperties>
</file>