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defaultThemeVersion="164011"/>
  <mc:AlternateContent xmlns:mc="http://schemas.openxmlformats.org/markup-compatibility/2006">
    <mc:Choice Requires="x15">
      <x15ac:absPath xmlns:x15ac="http://schemas.microsoft.com/office/spreadsheetml/2010/11/ac" url="K:\MD_PSC\P12296-MD_PSC\ResHVAC MCS\"/>
    </mc:Choice>
  </mc:AlternateContent>
  <bookViews>
    <workbookView xWindow="0" yWindow="0" windowWidth="24000" windowHeight="9516" firstSheet="6" activeTab="11"/>
  </bookViews>
  <sheets>
    <sheet name="Master Summary" sheetId="2" r:id="rId1"/>
    <sheet name="Efficient_Fan_Motor" sheetId="16" r:id="rId2"/>
    <sheet name="Residential_ASHP" sheetId="109" r:id="rId3"/>
    <sheet name="Residential_CAC" sheetId="106" r:id="rId4"/>
    <sheet name="Res_CondensingFurnace_IMC" sheetId="103" r:id="rId5"/>
    <sheet name="Residential_HPWH" sheetId="81" r:id="rId6"/>
    <sheet name="Refrigerator_IMC" sheetId="98" r:id="rId7"/>
    <sheet name="Commercial_AC" sheetId="91" r:id="rId8"/>
    <sheet name="Commercial_HP" sheetId="92" r:id="rId9"/>
    <sheet name="VFD" sheetId="83" r:id="rId10"/>
    <sheet name="VFD_Calculator" sheetId="7" r:id="rId11"/>
    <sheet name="Residential Clothes Washer" sheetId="113" r:id="rId12"/>
    <sheet name="Comm_MidATRM_Mini Ductless HP" sheetId="67" r:id="rId13"/>
    <sheet name="Res Mini Ductless HP" sheetId="68" r:id="rId14"/>
    <sheet name="TRM Res HP Air Source  IC  " sheetId="23" r:id="rId15"/>
    <sheet name="TRM V6 ResCAC" sheetId="116" r:id="rId16"/>
    <sheet name="TRM Comm Unitary HVAC IC" sheetId="24" r:id="rId17"/>
    <sheet name="RES_Small_Gas_WH_Calcs" sheetId="9" r:id="rId18"/>
    <sheet name="Elec_Chillers_TRM_IMC" sheetId="5" r:id="rId19"/>
    <sheet name="Elct_Chillers_Water_Cooled_TOS" sheetId="6" r:id="rId20"/>
    <sheet name="Elct_Chillers_Water_Cooled_ER" sheetId="34" r:id="rId21"/>
    <sheet name="Elct_Chillers_Air_Cooled_TOS" sheetId="17" r:id="rId22"/>
    <sheet name="Elct_Chillers_Air_Cooled_ER" sheetId="35" r:id="rId23"/>
    <sheet name="Occupancy_Sensor" sheetId="114" r:id="rId24"/>
    <sheet name="Room_AC_Calculations" sheetId="3" r:id="rId25"/>
    <sheet name="Inflation" sheetId="15" r:id="rId26"/>
    <sheet name="Labor Adjustment" sheetId="90" r:id="rId27"/>
    <sheet name="Equipment Results Matrix" sheetId="111" r:id="rId28"/>
    <sheet name="Labor Results Matrix" sheetId="112" r:id="rId29"/>
  </sheets>
  <externalReferences>
    <externalReference r:id="rId30"/>
    <externalReference r:id="rId31"/>
    <externalReference r:id="rId32"/>
    <externalReference r:id="rId33"/>
    <externalReference r:id="rId34"/>
    <externalReference r:id="rId35"/>
    <externalReference r:id="rId36"/>
    <externalReference r:id="rId37"/>
  </externalReferences>
  <definedNames>
    <definedName name="_10N">#REF!</definedName>
    <definedName name="_10new">#REF!</definedName>
    <definedName name="_10R">#REF!</definedName>
    <definedName name="_11N">#REF!</definedName>
    <definedName name="_11R">#REF!</definedName>
    <definedName name="_11ret">#REF!</definedName>
    <definedName name="_12N">#REF!</definedName>
    <definedName name="_12new">#REF!</definedName>
    <definedName name="_12R">#REF!</definedName>
    <definedName name="_12ret">#REF!</definedName>
    <definedName name="_13N">#REF!</definedName>
    <definedName name="_13new">#REF!</definedName>
    <definedName name="_13R">#REF!</definedName>
    <definedName name="_13ret">#REF!</definedName>
    <definedName name="_14R">#REF!</definedName>
    <definedName name="_14ret">#REF!</definedName>
    <definedName name="_15N">#REF!</definedName>
    <definedName name="_15new">#REF!</definedName>
    <definedName name="_15R">#REF!</definedName>
    <definedName name="_15ret">#REF!</definedName>
    <definedName name="_16R">#REF!</definedName>
    <definedName name="_16ret">#REF!</definedName>
    <definedName name="_17N">#REF!</definedName>
    <definedName name="_17new">#REF!</definedName>
    <definedName name="_17R">#REF!</definedName>
    <definedName name="_17ret">#REF!</definedName>
    <definedName name="_18N">#REF!</definedName>
    <definedName name="_18new">#REF!</definedName>
    <definedName name="_19N">#REF!</definedName>
    <definedName name="_19new">#REF!</definedName>
    <definedName name="_19R">#REF!</definedName>
    <definedName name="_19ret">#REF!</definedName>
    <definedName name="_1N">#REF!</definedName>
    <definedName name="_1new">#REF!</definedName>
    <definedName name="_1R">#REF!</definedName>
    <definedName name="_1ret">#REF!</definedName>
    <definedName name="_20N">#REF!</definedName>
    <definedName name="_20new">#REF!</definedName>
    <definedName name="_20R">#REF!</definedName>
    <definedName name="_20ret">#REF!</definedName>
    <definedName name="_21N">#REF!</definedName>
    <definedName name="_21new">#REF!</definedName>
    <definedName name="_21R">#REF!</definedName>
    <definedName name="_21ret">#REF!</definedName>
    <definedName name="_2N">#REF!</definedName>
    <definedName name="_2new">#REF!</definedName>
    <definedName name="_3">#REF!</definedName>
    <definedName name="_3a">#REF!</definedName>
    <definedName name="_4R">#REF!</definedName>
    <definedName name="_4ret">#REF!</definedName>
    <definedName name="_5N">#REF!</definedName>
    <definedName name="_5new">#REF!</definedName>
    <definedName name="_5R">#REF!</definedName>
    <definedName name="_5ret">#REF!</definedName>
    <definedName name="_6R">#REF!</definedName>
    <definedName name="_7N">#REF!</definedName>
    <definedName name="_7R">#REF!</definedName>
    <definedName name="_8R">#REF!</definedName>
    <definedName name="_9N">#REF!</definedName>
    <definedName name="_9R">#REF!</definedName>
    <definedName name="_xlnm._FilterDatabase" localSheetId="0" hidden="1">'Master Summary'!$A$2:$J$39</definedName>
    <definedName name="_ftn1" localSheetId="0">'Master Summary'!$F$13</definedName>
    <definedName name="_ftn2" localSheetId="0">'Master Summary'!#REF!</definedName>
    <definedName name="_ftnref1" localSheetId="0">'Master Summary'!$F$5</definedName>
    <definedName name="_ftnref2" localSheetId="0">'Master Summary'!#REF!</definedName>
    <definedName name="_Ref257260142" localSheetId="0">'Master Summary'!$F$5</definedName>
    <definedName name="Baseline">[1]ValidationLists!$F$4:$F$6</definedName>
    <definedName name="Capacity_Merged">'[2]EER vs Price - 2005'!$U$18</definedName>
    <definedName name="CentralSplitAC">[3]measurecost!#REF!</definedName>
    <definedName name="CentralSplitAC1">[3]measurecost!#REF!</definedName>
    <definedName name="CostDataSourceTypes">[4]ValidationLists!$A$2:$A$12</definedName>
    <definedName name="EER_Merged">'[2]EER vs Price - 2005'!$U$19</definedName>
    <definedName name="Intercept_Merged">'[2]EER vs Price - 2005'!$U$17</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 i="113" l="1"/>
  <c r="H7" i="113"/>
  <c r="I6" i="113"/>
  <c r="H6" i="113"/>
  <c r="H5" i="113"/>
  <c r="I5" i="113"/>
  <c r="I4" i="113"/>
  <c r="I3" i="113"/>
  <c r="I2" i="113"/>
  <c r="H4" i="113"/>
  <c r="H3" i="113"/>
  <c r="H2" i="113"/>
  <c r="D7" i="113"/>
  <c r="D6" i="113"/>
  <c r="D5" i="113"/>
  <c r="C7" i="113"/>
  <c r="C6" i="113"/>
  <c r="C5" i="113"/>
  <c r="D4" i="113"/>
  <c r="D3" i="113"/>
  <c r="D2" i="113"/>
  <c r="C4" i="113"/>
  <c r="C3" i="113"/>
  <c r="C2" i="113"/>
  <c r="V8" i="6" l="1"/>
  <c r="V9" i="6"/>
  <c r="V10" i="6"/>
  <c r="W10" i="6"/>
  <c r="X10" i="6"/>
  <c r="V11" i="6"/>
  <c r="W11" i="6"/>
  <c r="X11" i="6"/>
  <c r="V7" i="6"/>
  <c r="P8" i="6"/>
  <c r="P9" i="6"/>
  <c r="P10" i="6"/>
  <c r="Q10" i="6"/>
  <c r="R10" i="6"/>
  <c r="P11" i="6"/>
  <c r="Q11" i="6"/>
  <c r="R11" i="6"/>
  <c r="P7" i="6"/>
  <c r="L8" i="6"/>
  <c r="M8" i="6"/>
  <c r="J9" i="6"/>
  <c r="K9" i="6"/>
  <c r="L9" i="6"/>
  <c r="M9" i="6"/>
  <c r="J10" i="6"/>
  <c r="K10" i="6"/>
  <c r="J11" i="6"/>
  <c r="K11" i="6"/>
  <c r="L11" i="6"/>
  <c r="L7" i="6"/>
  <c r="M7" i="6"/>
  <c r="F8" i="6"/>
  <c r="G8" i="6"/>
  <c r="D9" i="6"/>
  <c r="E9" i="6"/>
  <c r="F9" i="6"/>
  <c r="G9" i="6"/>
  <c r="D10" i="6"/>
  <c r="E10" i="6"/>
  <c r="D11" i="6"/>
  <c r="E11" i="6"/>
  <c r="F11" i="6"/>
  <c r="F7" i="6"/>
  <c r="G7" i="6"/>
  <c r="G26" i="17"/>
  <c r="K26" i="17" s="1"/>
  <c r="D50" i="17"/>
  <c r="D49" i="17"/>
  <c r="D48" i="17"/>
  <c r="D47" i="17"/>
  <c r="D46" i="17"/>
  <c r="G30" i="17"/>
  <c r="D37" i="17"/>
  <c r="D26" i="17"/>
  <c r="D17" i="17"/>
  <c r="I39" i="17"/>
  <c r="I17" i="17"/>
  <c r="G38" i="17"/>
  <c r="H38" i="17"/>
  <c r="L38" i="17" s="1"/>
  <c r="I38" i="17"/>
  <c r="G39" i="17"/>
  <c r="H39" i="17"/>
  <c r="G40" i="17"/>
  <c r="H40" i="17"/>
  <c r="I40" i="17"/>
  <c r="G41" i="17"/>
  <c r="H41" i="17"/>
  <c r="I41" i="17"/>
  <c r="H37" i="17"/>
  <c r="I37" i="17"/>
  <c r="G37" i="17"/>
  <c r="P37" i="17" s="1"/>
  <c r="J6" i="17"/>
  <c r="B3" i="9"/>
  <c r="B2" i="9"/>
  <c r="C11" i="3"/>
  <c r="C12" i="3"/>
  <c r="D13" i="3"/>
  <c r="D14" i="3"/>
  <c r="N9" i="92"/>
  <c r="N8" i="92"/>
  <c r="N7" i="92"/>
  <c r="N6" i="92"/>
  <c r="N5" i="92"/>
  <c r="M9" i="92"/>
  <c r="M8" i="92"/>
  <c r="M7" i="92"/>
  <c r="M6" i="92"/>
  <c r="M5" i="92"/>
  <c r="I9" i="92"/>
  <c r="I8" i="92"/>
  <c r="I7" i="92"/>
  <c r="I6" i="92"/>
  <c r="I5" i="92"/>
  <c r="H9" i="92"/>
  <c r="H8" i="92"/>
  <c r="H7" i="92"/>
  <c r="F9" i="92"/>
  <c r="F8" i="92"/>
  <c r="F7" i="92"/>
  <c r="G9" i="92"/>
  <c r="G8" i="92"/>
  <c r="G7" i="92"/>
  <c r="G6" i="92"/>
  <c r="G5" i="92"/>
  <c r="D9" i="92"/>
  <c r="D8" i="92"/>
  <c r="D7" i="92"/>
  <c r="D6" i="92"/>
  <c r="D5" i="92"/>
  <c r="E5" i="92"/>
  <c r="E6" i="92"/>
  <c r="E7" i="92"/>
  <c r="E8" i="92"/>
  <c r="E9" i="92"/>
  <c r="L7" i="92"/>
  <c r="L8" i="92"/>
  <c r="L9" i="92"/>
  <c r="K9" i="92"/>
  <c r="K8" i="92"/>
  <c r="K6" i="92"/>
  <c r="K7" i="92"/>
  <c r="K5" i="92"/>
  <c r="V17" i="91"/>
  <c r="W17" i="91" s="1"/>
  <c r="W34" i="91"/>
  <c r="X34" i="91" s="1"/>
  <c r="D5" i="103"/>
  <c r="D6" i="103"/>
  <c r="D7" i="103"/>
  <c r="D4" i="103"/>
  <c r="C5" i="103"/>
  <c r="C6" i="103"/>
  <c r="C7" i="103"/>
  <c r="C4" i="103"/>
  <c r="B4" i="103"/>
  <c r="W49" i="91"/>
  <c r="W47" i="91"/>
  <c r="X47" i="91" s="1"/>
  <c r="W36" i="91"/>
  <c r="V19" i="91"/>
  <c r="W15" i="92"/>
  <c r="X15" i="92" s="1"/>
  <c r="W42" i="92"/>
  <c r="W53" i="91"/>
  <c r="W57" i="91"/>
  <c r="V27" i="91"/>
  <c r="V23" i="91"/>
  <c r="W40" i="91"/>
  <c r="W44" i="91"/>
  <c r="W38" i="91"/>
  <c r="J41" i="92"/>
  <c r="H41" i="92"/>
  <c r="I41" i="92" s="1"/>
  <c r="J39" i="92"/>
  <c r="H39" i="92"/>
  <c r="I39" i="92" s="1"/>
  <c r="K39" i="92" s="1"/>
  <c r="J37" i="92"/>
  <c r="H37" i="92"/>
  <c r="I37" i="92" s="1"/>
  <c r="S30" i="92"/>
  <c r="T30" i="92" s="1"/>
  <c r="W28" i="92"/>
  <c r="X28" i="92" s="1"/>
  <c r="T28" i="92"/>
  <c r="S26" i="92"/>
  <c r="W26" i="92" s="1"/>
  <c r="X26" i="92" s="1"/>
  <c r="S62" i="92"/>
  <c r="W62" i="92" s="1"/>
  <c r="X62" i="92" s="1"/>
  <c r="W60" i="92"/>
  <c r="X60" i="92" s="1"/>
  <c r="T60" i="92"/>
  <c r="S58" i="92"/>
  <c r="W58" i="92" s="1"/>
  <c r="X58" i="92" s="1"/>
  <c r="C37" i="92" s="1"/>
  <c r="W47" i="92"/>
  <c r="X47" i="92" s="1"/>
  <c r="W36" i="92"/>
  <c r="X36" i="92" s="1"/>
  <c r="J26" i="92"/>
  <c r="H26" i="92"/>
  <c r="I26" i="92" s="1"/>
  <c r="T47" i="92"/>
  <c r="T36" i="92"/>
  <c r="T15" i="92"/>
  <c r="J15" i="92"/>
  <c r="H15" i="92"/>
  <c r="I15" i="92" s="1"/>
  <c r="T47" i="91"/>
  <c r="T17" i="91"/>
  <c r="T34" i="91"/>
  <c r="J18" i="91"/>
  <c r="H18" i="91"/>
  <c r="I18" i="91" s="1"/>
  <c r="P26" i="17" l="1"/>
  <c r="K26" i="92"/>
  <c r="W30" i="92"/>
  <c r="X30" i="92" s="1"/>
  <c r="K37" i="92"/>
  <c r="C39" i="92"/>
  <c r="K41" i="92"/>
  <c r="C41" i="92"/>
  <c r="Y34" i="91"/>
  <c r="E5" i="91" s="1"/>
  <c r="Y47" i="91"/>
  <c r="D5" i="91" s="1"/>
  <c r="C15" i="92"/>
  <c r="X17" i="91"/>
  <c r="G5" i="91" s="1"/>
  <c r="Y60" i="92"/>
  <c r="Y28" i="92"/>
  <c r="T26" i="92"/>
  <c r="Y26" i="92" s="1"/>
  <c r="Y30" i="92"/>
  <c r="C26" i="92"/>
  <c r="Y36" i="92"/>
  <c r="T58" i="92"/>
  <c r="Y58" i="92" s="1"/>
  <c r="T62" i="92"/>
  <c r="Y15" i="92"/>
  <c r="Y47" i="92"/>
  <c r="K15" i="92"/>
  <c r="C18" i="91"/>
  <c r="K18" i="91"/>
  <c r="J49" i="91"/>
  <c r="J47" i="91"/>
  <c r="J45" i="91"/>
  <c r="H49" i="91"/>
  <c r="I49" i="91" s="1"/>
  <c r="AA68" i="91"/>
  <c r="Y68" i="91"/>
  <c r="Z68" i="91" s="1"/>
  <c r="T68" i="91"/>
  <c r="H47" i="91"/>
  <c r="I47" i="91" s="1"/>
  <c r="AA66" i="91"/>
  <c r="Y66" i="91"/>
  <c r="Z66" i="91" s="1"/>
  <c r="T66" i="91"/>
  <c r="H45" i="91"/>
  <c r="I45" i="91" s="1"/>
  <c r="AA64" i="91"/>
  <c r="Y64" i="91"/>
  <c r="Z64" i="91" s="1"/>
  <c r="T64" i="91"/>
  <c r="J34" i="92"/>
  <c r="J32" i="92"/>
  <c r="J30" i="92"/>
  <c r="J28" i="92"/>
  <c r="J19" i="92"/>
  <c r="J21" i="92"/>
  <c r="J23" i="92"/>
  <c r="J17" i="92"/>
  <c r="H34" i="92"/>
  <c r="I34" i="92" s="1"/>
  <c r="H32" i="92"/>
  <c r="I32" i="92" s="1"/>
  <c r="H30" i="92"/>
  <c r="I30" i="92" s="1"/>
  <c r="H28" i="92"/>
  <c r="I28" i="92" s="1"/>
  <c r="H23" i="92"/>
  <c r="I23" i="92" s="1"/>
  <c r="H21" i="92"/>
  <c r="I21" i="92" s="1"/>
  <c r="H19" i="92"/>
  <c r="I19" i="92" s="1"/>
  <c r="H17" i="92"/>
  <c r="I17" i="92" s="1"/>
  <c r="M58" i="91"/>
  <c r="E18" i="91" s="1"/>
  <c r="N53" i="92"/>
  <c r="N52" i="92"/>
  <c r="N51" i="92"/>
  <c r="N50" i="92"/>
  <c r="J41" i="91"/>
  <c r="H41" i="91"/>
  <c r="I41" i="91" s="1"/>
  <c r="J39" i="91"/>
  <c r="H39" i="91"/>
  <c r="I39" i="91" s="1"/>
  <c r="J37" i="91"/>
  <c r="H37" i="91"/>
  <c r="I37" i="91" s="1"/>
  <c r="J35" i="91"/>
  <c r="H35" i="91"/>
  <c r="I35" i="91" s="1"/>
  <c r="J33" i="91"/>
  <c r="H33" i="91"/>
  <c r="I33" i="91" s="1"/>
  <c r="J28" i="91"/>
  <c r="H28" i="91"/>
  <c r="I28" i="91" s="1"/>
  <c r="J26" i="91"/>
  <c r="H26" i="91"/>
  <c r="J24" i="91"/>
  <c r="H24" i="91"/>
  <c r="J22" i="91"/>
  <c r="H22" i="91"/>
  <c r="J20" i="91"/>
  <c r="H20" i="91"/>
  <c r="E17" i="92" l="1"/>
  <c r="E28" i="92"/>
  <c r="Y62" i="92"/>
  <c r="D41" i="92" s="1"/>
  <c r="D39" i="92"/>
  <c r="E15" i="92"/>
  <c r="E26" i="92"/>
  <c r="L26" i="92" s="1"/>
  <c r="M26" i="92" s="1"/>
  <c r="N26" i="92" s="1"/>
  <c r="D37" i="92"/>
  <c r="E37" i="92"/>
  <c r="O37" i="92" s="1"/>
  <c r="E41" i="92"/>
  <c r="E39" i="92"/>
  <c r="O18" i="91"/>
  <c r="N5" i="91" s="1"/>
  <c r="I5" i="91"/>
  <c r="F7" i="91"/>
  <c r="F8" i="91"/>
  <c r="F9" i="91"/>
  <c r="D18" i="91"/>
  <c r="K5" i="91" s="1"/>
  <c r="J5" i="91" s="1"/>
  <c r="I26" i="91"/>
  <c r="I22" i="91"/>
  <c r="K22" i="91" s="1"/>
  <c r="I20" i="91"/>
  <c r="I24" i="91"/>
  <c r="O31" i="91"/>
  <c r="D15" i="92"/>
  <c r="L18" i="91"/>
  <c r="M18" i="91" s="1"/>
  <c r="N18" i="91" s="1"/>
  <c r="M5" i="91" s="1"/>
  <c r="L15" i="92"/>
  <c r="M15" i="92" s="1"/>
  <c r="N15" i="92" s="1"/>
  <c r="D26" i="92"/>
  <c r="J5" i="92" s="1"/>
  <c r="K47" i="91"/>
  <c r="K45" i="91"/>
  <c r="K49" i="91"/>
  <c r="C45" i="91"/>
  <c r="D45" i="91" s="1"/>
  <c r="L7" i="91" s="1"/>
  <c r="C47" i="91"/>
  <c r="D47" i="91" s="1"/>
  <c r="L8" i="91" s="1"/>
  <c r="C49" i="91"/>
  <c r="D49" i="91" s="1"/>
  <c r="L9" i="91" s="1"/>
  <c r="AB64" i="91"/>
  <c r="AB66" i="91"/>
  <c r="AB68" i="91"/>
  <c r="E30" i="92"/>
  <c r="O41" i="92" s="1"/>
  <c r="E32" i="92"/>
  <c r="E19" i="92"/>
  <c r="E21" i="92"/>
  <c r="K34" i="92"/>
  <c r="E23" i="92"/>
  <c r="E34" i="92"/>
  <c r="K30" i="92"/>
  <c r="K28" i="92"/>
  <c r="K32" i="92"/>
  <c r="K17" i="92"/>
  <c r="K21" i="92"/>
  <c r="K19" i="92"/>
  <c r="K23" i="92"/>
  <c r="K33" i="91"/>
  <c r="K41" i="91"/>
  <c r="K35" i="91"/>
  <c r="K39" i="91"/>
  <c r="K37" i="91"/>
  <c r="K24" i="91"/>
  <c r="K20" i="91"/>
  <c r="K28" i="91"/>
  <c r="K26" i="91"/>
  <c r="O14" i="81"/>
  <c r="H6" i="81"/>
  <c r="L8" i="68"/>
  <c r="L9" i="68"/>
  <c r="L10" i="68"/>
  <c r="L11" i="68"/>
  <c r="L7" i="68"/>
  <c r="F7" i="68"/>
  <c r="O39" i="92" l="1"/>
  <c r="O15" i="92"/>
  <c r="O26" i="92"/>
  <c r="O45" i="91"/>
  <c r="N7" i="91" s="1"/>
  <c r="H7" i="91"/>
  <c r="O49" i="91"/>
  <c r="N9" i="91" s="1"/>
  <c r="H9" i="91"/>
  <c r="O47" i="91"/>
  <c r="N8" i="91" s="1"/>
  <c r="H8" i="91"/>
  <c r="L106" i="112"/>
  <c r="L17" i="112"/>
  <c r="L11" i="98" l="1"/>
  <c r="L8" i="98"/>
  <c r="L9" i="98"/>
  <c r="L10" i="98"/>
  <c r="L7" i="98"/>
  <c r="L6" i="98"/>
  <c r="L5" i="98"/>
  <c r="E8" i="98"/>
  <c r="E9" i="98"/>
  <c r="E10" i="98"/>
  <c r="E11" i="98"/>
  <c r="E7" i="98"/>
  <c r="K32" i="98"/>
  <c r="M36" i="98"/>
  <c r="L36" i="98"/>
  <c r="K36" i="98"/>
  <c r="M35" i="98"/>
  <c r="L35" i="98"/>
  <c r="K35" i="98"/>
  <c r="M34" i="98"/>
  <c r="L34" i="98"/>
  <c r="K34" i="98"/>
  <c r="M33" i="98"/>
  <c r="L33" i="98"/>
  <c r="K33" i="98"/>
  <c r="M32" i="98"/>
  <c r="L32" i="98"/>
  <c r="B12" i="90"/>
  <c r="E6" i="98" l="1"/>
  <c r="E5" i="98"/>
  <c r="G11" i="68" l="1"/>
  <c r="G10" i="68"/>
  <c r="G9" i="68"/>
  <c r="G7" i="68"/>
  <c r="F11" i="68"/>
  <c r="F10" i="68"/>
  <c r="F9" i="68"/>
  <c r="F8" i="68"/>
  <c r="E11" i="68"/>
  <c r="E10" i="68"/>
  <c r="H10" i="68" s="1"/>
  <c r="E9" i="68"/>
  <c r="H9" i="68" s="1"/>
  <c r="E8" i="68"/>
  <c r="H8" i="68" s="1"/>
  <c r="E7" i="68"/>
  <c r="H7" i="68" s="1"/>
  <c r="I7" i="68"/>
  <c r="B7" i="68"/>
  <c r="I11" i="68"/>
  <c r="H11" i="68"/>
  <c r="I10" i="68"/>
  <c r="I9" i="68"/>
  <c r="I8" i="68"/>
  <c r="J11" i="68" l="1"/>
  <c r="K11" i="68" s="1"/>
  <c r="J8" i="68"/>
  <c r="K8" i="68" s="1"/>
  <c r="J10" i="68"/>
  <c r="K10" i="68" s="1"/>
  <c r="J9" i="68"/>
  <c r="K9" i="68" s="1"/>
  <c r="J7" i="68"/>
  <c r="K7" i="68" s="1"/>
  <c r="T38" i="91" l="1"/>
  <c r="I20" i="114" l="1"/>
  <c r="I19" i="114"/>
  <c r="I18" i="114"/>
  <c r="G283" i="112"/>
  <c r="H277" i="112" s="1"/>
  <c r="BS7" i="112"/>
  <c r="C22" i="114"/>
  <c r="D22" i="114" s="1"/>
  <c r="C23" i="114"/>
  <c r="D23" i="114" s="1"/>
  <c r="C21" i="114"/>
  <c r="D21" i="114" s="1"/>
  <c r="C19" i="114"/>
  <c r="D19" i="114" s="1"/>
  <c r="C20" i="114"/>
  <c r="D20" i="114" s="1"/>
  <c r="C18" i="114"/>
  <c r="D18" i="114" s="1"/>
  <c r="C13" i="114"/>
  <c r="C14" i="114"/>
  <c r="C12" i="114"/>
  <c r="C11" i="114"/>
  <c r="C10" i="114"/>
  <c r="C9" i="114"/>
  <c r="D9" i="114" l="1"/>
  <c r="D12" i="114"/>
  <c r="D11" i="114"/>
  <c r="J20" i="114"/>
  <c r="J18" i="114"/>
  <c r="J19" i="114"/>
  <c r="E18" i="114"/>
  <c r="D14" i="114"/>
  <c r="D13" i="114"/>
  <c r="E9" i="114" l="1"/>
  <c r="D10" i="114"/>
  <c r="F9" i="114" s="1"/>
  <c r="B3" i="114" s="1"/>
  <c r="F18" i="114"/>
  <c r="B4" i="114" s="1"/>
  <c r="J12" i="114" l="1"/>
  <c r="J11" i="114"/>
  <c r="J9" i="114"/>
  <c r="J10" i="114"/>
  <c r="J20" i="90" l="1"/>
  <c r="J14" i="90"/>
  <c r="Q8" i="9"/>
  <c r="O8" i="9"/>
  <c r="P8" i="9" s="1"/>
  <c r="R8" i="9" s="1"/>
  <c r="R7" i="9"/>
  <c r="Q7" i="9"/>
  <c r="P7" i="9"/>
  <c r="O7" i="9"/>
  <c r="H7" i="9"/>
  <c r="B7" i="9"/>
  <c r="C7" i="9" s="1"/>
  <c r="D7" i="9" s="1"/>
  <c r="I24" i="6"/>
  <c r="I33" i="6"/>
  <c r="I32" i="6"/>
  <c r="H32" i="6"/>
  <c r="F30" i="6"/>
  <c r="G30" i="6"/>
  <c r="G29" i="6"/>
  <c r="F29" i="6"/>
  <c r="H42" i="6"/>
  <c r="D39" i="6"/>
  <c r="G40" i="6"/>
  <c r="F40" i="6"/>
  <c r="G39" i="6"/>
  <c r="F39" i="6"/>
  <c r="I42" i="6"/>
  <c r="I43" i="6"/>
  <c r="I52" i="6"/>
  <c r="I51" i="6"/>
  <c r="H51" i="6"/>
  <c r="F49" i="6"/>
  <c r="G49" i="6"/>
  <c r="K49" i="6" s="1"/>
  <c r="G48" i="6"/>
  <c r="F48" i="6"/>
  <c r="D59" i="6"/>
  <c r="D60" i="6"/>
  <c r="D61" i="6"/>
  <c r="D62" i="6"/>
  <c r="D68" i="6"/>
  <c r="D69" i="6"/>
  <c r="D70" i="6"/>
  <c r="D71" i="6"/>
  <c r="I68" i="6"/>
  <c r="M68" i="6" s="1"/>
  <c r="I69" i="6"/>
  <c r="M69" i="6" s="1"/>
  <c r="I70" i="6"/>
  <c r="M70" i="6" s="1"/>
  <c r="I71" i="6"/>
  <c r="S71" i="6" s="1"/>
  <c r="H67" i="6"/>
  <c r="I67" i="6"/>
  <c r="H68" i="6"/>
  <c r="H69" i="6"/>
  <c r="G68" i="6"/>
  <c r="Q68" i="6" s="1"/>
  <c r="G69" i="6"/>
  <c r="Q69" i="6" s="1"/>
  <c r="G67" i="6"/>
  <c r="I59" i="6"/>
  <c r="I60" i="6"/>
  <c r="I61" i="6"/>
  <c r="M61" i="6" s="1"/>
  <c r="I62" i="6"/>
  <c r="M62" i="6" s="1"/>
  <c r="H58" i="6"/>
  <c r="I58" i="6"/>
  <c r="H59" i="6"/>
  <c r="H60" i="6"/>
  <c r="G59" i="6"/>
  <c r="G60" i="6"/>
  <c r="D58" i="6"/>
  <c r="G58" i="6"/>
  <c r="Q60" i="6" l="1"/>
  <c r="S60" i="6"/>
  <c r="R69" i="6"/>
  <c r="Q59" i="6"/>
  <c r="S59" i="6"/>
  <c r="S68" i="6"/>
  <c r="R58" i="6"/>
  <c r="R59" i="6"/>
  <c r="S58" i="6"/>
  <c r="R68" i="6"/>
  <c r="Q58" i="6"/>
  <c r="R60" i="6"/>
  <c r="S70" i="6"/>
  <c r="M60" i="6"/>
  <c r="M59" i="6"/>
  <c r="S69" i="6"/>
  <c r="S62" i="6"/>
  <c r="M71" i="6"/>
  <c r="S61" i="6"/>
  <c r="AJ16" i="113" l="1"/>
  <c r="AI19" i="113"/>
  <c r="AJ19" i="113" s="1"/>
  <c r="AI16" i="113"/>
  <c r="AH19" i="113"/>
  <c r="AH16" i="113"/>
  <c r="O19" i="113"/>
  <c r="P19" i="113" s="1"/>
  <c r="Q19" i="113" s="1"/>
  <c r="O16" i="113"/>
  <c r="P16" i="113" s="1"/>
  <c r="Q16" i="113" s="1"/>
  <c r="F17" i="17"/>
  <c r="G46" i="17"/>
  <c r="P46" i="17" s="1"/>
  <c r="H8" i="9"/>
  <c r="D44" i="34" l="1"/>
  <c r="D35" i="34"/>
  <c r="D36" i="34"/>
  <c r="D37" i="34"/>
  <c r="D38" i="34"/>
  <c r="D34" i="34"/>
  <c r="D49" i="6"/>
  <c r="Q49" i="6" s="1"/>
  <c r="D50" i="6"/>
  <c r="D51" i="6"/>
  <c r="D52" i="6"/>
  <c r="D40" i="6"/>
  <c r="D41" i="6"/>
  <c r="D42" i="6"/>
  <c r="D43" i="6"/>
  <c r="D48" i="6"/>
  <c r="Q48" i="6" s="1"/>
  <c r="Y336" i="111"/>
  <c r="C16" i="9"/>
  <c r="P49" i="6" l="1"/>
  <c r="W49" i="113"/>
  <c r="V49" i="113"/>
  <c r="W48" i="113"/>
  <c r="V48" i="113"/>
  <c r="W47" i="113"/>
  <c r="V47" i="113"/>
  <c r="W45" i="113"/>
  <c r="V45" i="113"/>
  <c r="K45" i="113"/>
  <c r="K49" i="113" s="1"/>
  <c r="Y16" i="113" s="1"/>
  <c r="J45" i="113"/>
  <c r="J49" i="113" s="1"/>
  <c r="Y19" i="113" s="1"/>
  <c r="W44" i="113"/>
  <c r="V44" i="113"/>
  <c r="X44" i="113" s="1"/>
  <c r="M44" i="113"/>
  <c r="M48" i="113" s="1"/>
  <c r="AH15" i="113" s="1"/>
  <c r="L44" i="113"/>
  <c r="K44" i="113"/>
  <c r="J44" i="113"/>
  <c r="W43" i="113"/>
  <c r="V43" i="113"/>
  <c r="M43" i="113"/>
  <c r="L43" i="113"/>
  <c r="L47" i="113" s="1"/>
  <c r="AH17" i="113" s="1"/>
  <c r="K43" i="113"/>
  <c r="J43" i="113"/>
  <c r="I43" i="113"/>
  <c r="H43" i="113"/>
  <c r="H47" i="113" s="1"/>
  <c r="AG17" i="113" s="1"/>
  <c r="G43" i="113"/>
  <c r="G47" i="113" s="1"/>
  <c r="X14" i="113" s="1"/>
  <c r="F43" i="113"/>
  <c r="F47" i="113" s="1"/>
  <c r="X17" i="113" s="1"/>
  <c r="W34" i="113"/>
  <c r="V34" i="113"/>
  <c r="W33" i="113"/>
  <c r="X33" i="113" s="1"/>
  <c r="V33" i="113"/>
  <c r="W32" i="113"/>
  <c r="V32" i="113"/>
  <c r="X30" i="113"/>
  <c r="W30" i="113"/>
  <c r="V30" i="113"/>
  <c r="K30" i="113"/>
  <c r="K34" i="113" s="1"/>
  <c r="F16" i="113" s="1"/>
  <c r="J30" i="113"/>
  <c r="J34" i="113" s="1"/>
  <c r="F19" i="113" s="1"/>
  <c r="W29" i="113"/>
  <c r="V29" i="113"/>
  <c r="M29" i="113"/>
  <c r="L29" i="113"/>
  <c r="K29" i="113"/>
  <c r="K33" i="113" s="1"/>
  <c r="F15" i="113" s="1"/>
  <c r="J29" i="113"/>
  <c r="W28" i="113"/>
  <c r="V28" i="113"/>
  <c r="X28" i="113" s="1"/>
  <c r="M28" i="113"/>
  <c r="L28" i="113"/>
  <c r="K28" i="113"/>
  <c r="J28" i="113"/>
  <c r="J32" i="113" s="1"/>
  <c r="F17" i="113" s="1"/>
  <c r="I28" i="113"/>
  <c r="H28" i="113"/>
  <c r="H32" i="113" s="1"/>
  <c r="N17" i="113" s="1"/>
  <c r="G28" i="113"/>
  <c r="F28" i="113"/>
  <c r="F32" i="113" s="1"/>
  <c r="E17" i="113" s="1"/>
  <c r="O45" i="113" l="1"/>
  <c r="O49" i="113" s="1"/>
  <c r="I32" i="113"/>
  <c r="N14" i="113" s="1"/>
  <c r="AB28" i="113"/>
  <c r="Z19" i="113"/>
  <c r="I47" i="113"/>
  <c r="AG14" i="113" s="1"/>
  <c r="AB43" i="113"/>
  <c r="AB47" i="113" s="1"/>
  <c r="G17" i="113"/>
  <c r="G19" i="113"/>
  <c r="AI15" i="113"/>
  <c r="Z16" i="113"/>
  <c r="AI17" i="113"/>
  <c r="X47" i="113"/>
  <c r="X49" i="113"/>
  <c r="X43" i="113"/>
  <c r="P29" i="113"/>
  <c r="P33" i="113" s="1"/>
  <c r="P44" i="113"/>
  <c r="P48" i="113" s="1"/>
  <c r="O43" i="113"/>
  <c r="O47" i="113" s="1"/>
  <c r="O28" i="113"/>
  <c r="O32" i="113" s="1"/>
  <c r="Q29" i="113"/>
  <c r="Q33" i="113" s="1"/>
  <c r="G32" i="113"/>
  <c r="L33" i="113"/>
  <c r="O18" i="113" s="1"/>
  <c r="P18" i="113" s="1"/>
  <c r="P28" i="113"/>
  <c r="P32" i="113" s="1"/>
  <c r="N29" i="113"/>
  <c r="N33" i="113" s="1"/>
  <c r="X29" i="113"/>
  <c r="K32" i="113"/>
  <c r="F14" i="113" s="1"/>
  <c r="X34" i="113"/>
  <c r="Q43" i="113"/>
  <c r="Q47" i="113" s="1"/>
  <c r="N44" i="113"/>
  <c r="N48" i="113" s="1"/>
  <c r="M47" i="113"/>
  <c r="AH14" i="113" s="1"/>
  <c r="J48" i="113"/>
  <c r="Y18" i="113" s="1"/>
  <c r="Z18" i="113" s="1"/>
  <c r="Q28" i="113"/>
  <c r="Q32" i="113" s="1"/>
  <c r="X32" i="113"/>
  <c r="N43" i="113"/>
  <c r="N47" i="113" s="1"/>
  <c r="O44" i="113"/>
  <c r="O48" i="113" s="1"/>
  <c r="X45" i="113"/>
  <c r="X48" i="113"/>
  <c r="Z28" i="113"/>
  <c r="O29" i="113"/>
  <c r="O33" i="113" s="1"/>
  <c r="P43" i="113"/>
  <c r="P47" i="113" s="1"/>
  <c r="Q44" i="113"/>
  <c r="Q48" i="113" s="1"/>
  <c r="AA28" i="113"/>
  <c r="O30" i="113"/>
  <c r="O34" i="113" s="1"/>
  <c r="L32" i="113"/>
  <c r="O17" i="113" s="1"/>
  <c r="P17" i="113" s="1"/>
  <c r="M33" i="113"/>
  <c r="O15" i="113" s="1"/>
  <c r="Y43" i="113"/>
  <c r="J47" i="113"/>
  <c r="Y17" i="113" s="1"/>
  <c r="Z17" i="113" s="1"/>
  <c r="K48" i="113"/>
  <c r="Y15" i="113" s="1"/>
  <c r="Z15" i="113" s="1"/>
  <c r="N28" i="113"/>
  <c r="N32" i="113" s="1"/>
  <c r="M32" i="113"/>
  <c r="O14" i="113" s="1"/>
  <c r="J33" i="113"/>
  <c r="F18" i="113" s="1"/>
  <c r="G18" i="113" s="1"/>
  <c r="Z43" i="113"/>
  <c r="N45" i="113"/>
  <c r="N49" i="113" s="1"/>
  <c r="K47" i="113"/>
  <c r="Y14" i="113" s="1"/>
  <c r="Z14" i="113" s="1"/>
  <c r="L48" i="113"/>
  <c r="AH18" i="113" s="1"/>
  <c r="AI18" i="113" s="1"/>
  <c r="N30" i="113"/>
  <c r="N34" i="113" s="1"/>
  <c r="Y28" i="113"/>
  <c r="AA43" i="113"/>
  <c r="P14" i="113" l="1"/>
  <c r="P15" i="113"/>
  <c r="E14" i="113"/>
  <c r="G15" i="113" s="1"/>
  <c r="AD43" i="113"/>
  <c r="AD47" i="113" s="1"/>
  <c r="AA14" i="113" s="1"/>
  <c r="AD44" i="113"/>
  <c r="AD48" i="113" s="1"/>
  <c r="AA15" i="113" s="1"/>
  <c r="AD45" i="113"/>
  <c r="AF28" i="113"/>
  <c r="AF32" i="113" s="1"/>
  <c r="Q14" i="113" s="1"/>
  <c r="AF29" i="113"/>
  <c r="AF33" i="113" s="1"/>
  <c r="Q15" i="113" s="1"/>
  <c r="AC29" i="113"/>
  <c r="AC33" i="113" s="1"/>
  <c r="H18" i="113" s="1"/>
  <c r="AC28" i="113"/>
  <c r="AC30" i="113"/>
  <c r="AC34" i="113" s="1"/>
  <c r="H19" i="113" s="1"/>
  <c r="AA47" i="113"/>
  <c r="AE44" i="113"/>
  <c r="AE48" i="113" s="1"/>
  <c r="AE43" i="113"/>
  <c r="AE47" i="113" s="1"/>
  <c r="AJ17" i="113" s="1"/>
  <c r="AC45" i="113"/>
  <c r="AA19" i="113" s="1"/>
  <c r="AC44" i="113"/>
  <c r="AC48" i="113" s="1"/>
  <c r="AC43" i="113"/>
  <c r="AC47" i="113" s="1"/>
  <c r="AA17" i="113" s="1"/>
  <c r="AE28" i="113"/>
  <c r="AE32" i="113" s="1"/>
  <c r="Q17" i="113" s="1"/>
  <c r="AE29" i="113"/>
  <c r="AD28" i="113"/>
  <c r="AD32" i="113" s="1"/>
  <c r="H14" i="113" s="1"/>
  <c r="AD29" i="113"/>
  <c r="AD33" i="113" s="1"/>
  <c r="H15" i="113" s="1"/>
  <c r="AD30" i="113"/>
  <c r="AD34" i="113" s="1"/>
  <c r="H16" i="113" s="1"/>
  <c r="AI14" i="113"/>
  <c r="AF43" i="113"/>
  <c r="AF47" i="113" s="1"/>
  <c r="AJ14" i="113" s="1"/>
  <c r="AF44" i="113"/>
  <c r="AF48" i="113" s="1"/>
  <c r="AJ15" i="113" s="1"/>
  <c r="AD49" i="113"/>
  <c r="AA16" i="113" s="1"/>
  <c r="Z47" i="113"/>
  <c r="Z32" i="113"/>
  <c r="AC32" i="113"/>
  <c r="H17" i="113" s="1"/>
  <c r="Y32" i="113"/>
  <c r="AB32" i="113"/>
  <c r="AC49" i="113"/>
  <c r="Y47" i="113"/>
  <c r="AE33" i="113"/>
  <c r="Q18" i="113" s="1"/>
  <c r="AA32" i="113"/>
  <c r="G14" i="113" l="1"/>
  <c r="G16" i="113"/>
  <c r="AA18" i="113"/>
  <c r="AJ18" i="113"/>
  <c r="N30" i="109" l="1"/>
  <c r="L30" i="109"/>
  <c r="M30" i="109" s="1"/>
  <c r="O30" i="109" s="1"/>
  <c r="N29" i="109"/>
  <c r="M29" i="109"/>
  <c r="O29" i="109" s="1"/>
  <c r="L29" i="109"/>
  <c r="E29" i="109"/>
  <c r="F30" i="109"/>
  <c r="E30" i="109"/>
  <c r="F29" i="109"/>
  <c r="X36" i="109"/>
  <c r="Y36" i="109" s="1"/>
  <c r="X35" i="109"/>
  <c r="F35" i="106"/>
  <c r="X17" i="109"/>
  <c r="Y35" i="109" l="1"/>
  <c r="P30" i="106"/>
  <c r="O30" i="106"/>
  <c r="P29" i="106"/>
  <c r="O29" i="106"/>
  <c r="P45" i="106"/>
  <c r="D30" i="106"/>
  <c r="D29" i="106"/>
  <c r="P46" i="106"/>
  <c r="E29" i="106" s="1"/>
  <c r="P47" i="106"/>
  <c r="O47" i="106"/>
  <c r="O46" i="106"/>
  <c r="Q30" i="106" l="1"/>
  <c r="Q29" i="106"/>
  <c r="Q46" i="106"/>
  <c r="Q47" i="106"/>
  <c r="C23" i="103" l="1"/>
  <c r="D20" i="103"/>
  <c r="C16" i="103"/>
  <c r="D15" i="103"/>
  <c r="D13" i="103"/>
  <c r="D14" i="103"/>
  <c r="D12" i="103"/>
  <c r="D16" i="103" l="1"/>
  <c r="D22" i="103"/>
  <c r="D19" i="103"/>
  <c r="D21" i="103"/>
  <c r="D23" i="103" l="1"/>
  <c r="B14" i="81" l="1"/>
  <c r="Y343" i="111"/>
  <c r="Z342" i="111" s="1"/>
  <c r="AA342" i="111"/>
  <c r="Y342" i="111"/>
  <c r="AH341" i="111"/>
  <c r="AV341" i="111" s="1"/>
  <c r="AW341" i="111" s="1"/>
  <c r="Y341" i="111"/>
  <c r="AH340" i="111"/>
  <c r="AV340" i="111" s="1"/>
  <c r="AW340" i="111" s="1"/>
  <c r="AA340" i="111"/>
  <c r="Y340" i="111"/>
  <c r="Z340" i="111" s="1"/>
  <c r="AH339" i="111"/>
  <c r="AV339" i="111" s="1"/>
  <c r="AW339" i="111" s="1"/>
  <c r="Y339" i="111"/>
  <c r="AH338" i="111"/>
  <c r="AV338" i="111" s="1"/>
  <c r="AW338" i="111" s="1"/>
  <c r="AE338" i="111"/>
  <c r="AA338" i="111"/>
  <c r="Y338" i="111"/>
  <c r="AH337" i="111"/>
  <c r="AV337" i="111" s="1"/>
  <c r="AW337" i="111" s="1"/>
  <c r="AE337" i="111"/>
  <c r="Y337" i="111"/>
  <c r="AH336" i="111"/>
  <c r="AV336" i="111" s="1"/>
  <c r="AW336" i="111" s="1"/>
  <c r="AE336" i="111"/>
  <c r="AA336" i="111"/>
  <c r="R336" i="111"/>
  <c r="AH335" i="111"/>
  <c r="AV335" i="111" s="1"/>
  <c r="AW335" i="111" s="1"/>
  <c r="AE335" i="111"/>
  <c r="Y335" i="111"/>
  <c r="R335" i="111"/>
  <c r="AH334" i="111"/>
  <c r="AV334" i="111" s="1"/>
  <c r="AW334" i="111" s="1"/>
  <c r="AA334" i="111"/>
  <c r="Y334" i="111"/>
  <c r="Z334" i="111" s="1"/>
  <c r="R334" i="111"/>
  <c r="Z338" i="111" l="1"/>
  <c r="Z336" i="111"/>
  <c r="N13" i="16" l="1"/>
  <c r="M13" i="16"/>
  <c r="L13" i="16"/>
  <c r="E93" i="112"/>
  <c r="I93" i="112"/>
  <c r="J93" i="112"/>
  <c r="K93" i="112"/>
  <c r="Q94" i="112"/>
  <c r="T94" i="112"/>
  <c r="BF103" i="112"/>
  <c r="BF104" i="112"/>
  <c r="BF105" i="112"/>
  <c r="I282" i="112"/>
  <c r="O281" i="112"/>
  <c r="Q281" i="112" s="1"/>
  <c r="T281" i="112" s="1"/>
  <c r="E281" i="112"/>
  <c r="O280" i="112"/>
  <c r="Q280" i="112" s="1"/>
  <c r="T280" i="112" s="1"/>
  <c r="I280" i="112"/>
  <c r="O279" i="112"/>
  <c r="Q279" i="112" s="1"/>
  <c r="T279" i="112" s="1"/>
  <c r="E279" i="112"/>
  <c r="AV289" i="112"/>
  <c r="Q278" i="112"/>
  <c r="T278" i="112" s="1"/>
  <c r="I278" i="112"/>
  <c r="AV288" i="112"/>
  <c r="O277" i="112"/>
  <c r="E277" i="112"/>
  <c r="AV287" i="112"/>
  <c r="AW276" i="112"/>
  <c r="BH275" i="112"/>
  <c r="AR275" i="112"/>
  <c r="BH274" i="112"/>
  <c r="AR274" i="112"/>
  <c r="Q263" i="112"/>
  <c r="T263" i="112" s="1"/>
  <c r="BH273" i="112"/>
  <c r="AR273" i="112"/>
  <c r="Q262" i="112"/>
  <c r="T262" i="112" s="1"/>
  <c r="E262" i="112"/>
  <c r="BH272" i="112"/>
  <c r="AR272" i="112"/>
  <c r="Q261" i="112"/>
  <c r="T261" i="112" s="1"/>
  <c r="E261" i="112"/>
  <c r="BH271" i="112"/>
  <c r="AR271" i="112"/>
  <c r="BH270" i="112"/>
  <c r="AR270" i="112"/>
  <c r="I251" i="112"/>
  <c r="E251" i="112"/>
  <c r="I250" i="112"/>
  <c r="E250" i="112"/>
  <c r="BI252" i="112"/>
  <c r="BI251" i="112"/>
  <c r="BI250" i="112"/>
  <c r="Q239" i="112"/>
  <c r="T239" i="112" s="1"/>
  <c r="E239" i="112"/>
  <c r="BI249" i="112"/>
  <c r="BI244" i="112"/>
  <c r="BI243" i="112"/>
  <c r="BI242" i="112"/>
  <c r="BI241" i="112"/>
  <c r="BI240" i="112"/>
  <c r="BI239" i="112"/>
  <c r="BI238" i="112"/>
  <c r="BI232" i="112"/>
  <c r="BI231" i="112"/>
  <c r="Q220" i="112"/>
  <c r="T220" i="112" s="1"/>
  <c r="BI230" i="112"/>
  <c r="Q219" i="112"/>
  <c r="T219" i="112" s="1"/>
  <c r="BI229" i="112"/>
  <c r="Q218" i="112"/>
  <c r="T218" i="112" s="1"/>
  <c r="E218" i="112"/>
  <c r="BI228" i="112"/>
  <c r="BI227" i="112"/>
  <c r="S213" i="112"/>
  <c r="J213" i="112"/>
  <c r="S212" i="112"/>
  <c r="I212" i="112"/>
  <c r="E212" i="112"/>
  <c r="I211" i="112"/>
  <c r="E211" i="112"/>
  <c r="AR216" i="112"/>
  <c r="AR215" i="112"/>
  <c r="AR214" i="112"/>
  <c r="AR213" i="112"/>
  <c r="AR212" i="112"/>
  <c r="J198" i="112"/>
  <c r="I198" i="112"/>
  <c r="E198" i="112"/>
  <c r="AR205" i="112"/>
  <c r="AR204" i="112"/>
  <c r="AR203" i="112"/>
  <c r="AR202" i="112"/>
  <c r="AR201" i="112"/>
  <c r="AR200" i="112"/>
  <c r="AR199" i="112"/>
  <c r="AR198" i="112"/>
  <c r="AR197" i="112"/>
  <c r="J186" i="112"/>
  <c r="I186" i="112"/>
  <c r="E186" i="112"/>
  <c r="AR196" i="112"/>
  <c r="T185" i="112"/>
  <c r="J185" i="112"/>
  <c r="I185" i="112"/>
  <c r="E185" i="112"/>
  <c r="J184" i="112"/>
  <c r="I184" i="112"/>
  <c r="E184" i="112"/>
  <c r="AR191" i="112"/>
  <c r="AR190" i="112"/>
  <c r="AR189" i="112"/>
  <c r="AR188" i="112"/>
  <c r="AR187" i="112"/>
  <c r="AR186" i="112"/>
  <c r="AR185" i="112"/>
  <c r="AR184" i="112"/>
  <c r="AR183" i="112"/>
  <c r="AR182" i="112"/>
  <c r="AR181" i="112"/>
  <c r="AR180" i="112"/>
  <c r="AR179" i="112"/>
  <c r="AR178" i="112"/>
  <c r="AR177" i="112"/>
  <c r="AR176" i="112"/>
  <c r="AR175" i="112"/>
  <c r="AR174" i="112"/>
  <c r="AR173" i="112"/>
  <c r="AR172" i="112"/>
  <c r="AR171" i="112"/>
  <c r="AR170" i="112"/>
  <c r="AR169" i="112"/>
  <c r="AR168" i="112"/>
  <c r="J157" i="112"/>
  <c r="I157" i="112"/>
  <c r="E157" i="112"/>
  <c r="AR167" i="112"/>
  <c r="J156" i="112"/>
  <c r="I156" i="112"/>
  <c r="E156" i="112"/>
  <c r="J155" i="112"/>
  <c r="I155" i="112"/>
  <c r="E155" i="112"/>
  <c r="J154" i="112"/>
  <c r="I154" i="112"/>
  <c r="E154" i="112"/>
  <c r="T153" i="112"/>
  <c r="J153" i="112"/>
  <c r="I153" i="112"/>
  <c r="E153" i="112"/>
  <c r="T152" i="112"/>
  <c r="J152" i="112"/>
  <c r="I152" i="112"/>
  <c r="E152" i="112"/>
  <c r="J151" i="112"/>
  <c r="I151" i="112"/>
  <c r="E151" i="112"/>
  <c r="J150" i="112"/>
  <c r="I150" i="112"/>
  <c r="E150" i="112"/>
  <c r="J149" i="112"/>
  <c r="I149" i="112"/>
  <c r="E149" i="112"/>
  <c r="AR156" i="112"/>
  <c r="AR155" i="112"/>
  <c r="AR154" i="112"/>
  <c r="AR153" i="112"/>
  <c r="AR152" i="112"/>
  <c r="AR151" i="112"/>
  <c r="AR150" i="112"/>
  <c r="AR149" i="112"/>
  <c r="AR148" i="112"/>
  <c r="AR147" i="112"/>
  <c r="AR146" i="112"/>
  <c r="AR145" i="112"/>
  <c r="AR144" i="112"/>
  <c r="AR143" i="112"/>
  <c r="J132" i="112"/>
  <c r="I132" i="112"/>
  <c r="E132" i="112"/>
  <c r="AR142" i="112"/>
  <c r="J131" i="112"/>
  <c r="I131" i="112"/>
  <c r="E131" i="112"/>
  <c r="J130" i="112"/>
  <c r="I130" i="112"/>
  <c r="E130" i="112"/>
  <c r="Q129" i="112"/>
  <c r="T129" i="112" s="1"/>
  <c r="J129" i="112"/>
  <c r="I129" i="112"/>
  <c r="E129" i="112"/>
  <c r="J128" i="112"/>
  <c r="I128" i="112"/>
  <c r="E128" i="112"/>
  <c r="J127" i="112"/>
  <c r="I127" i="112"/>
  <c r="E127" i="112"/>
  <c r="AR134" i="112"/>
  <c r="AR133" i="112"/>
  <c r="AR132" i="112"/>
  <c r="AR131" i="112"/>
  <c r="AR130" i="112"/>
  <c r="AR129" i="112"/>
  <c r="AR128" i="112"/>
  <c r="AR127" i="112"/>
  <c r="AR126" i="112"/>
  <c r="AR125" i="112"/>
  <c r="AR124" i="112"/>
  <c r="S110" i="112"/>
  <c r="R110" i="112"/>
  <c r="O110" i="112"/>
  <c r="S109" i="112"/>
  <c r="R109" i="112"/>
  <c r="O109" i="112"/>
  <c r="S108" i="112"/>
  <c r="R108" i="112"/>
  <c r="O108" i="112"/>
  <c r="BI118" i="112"/>
  <c r="AR118" i="112"/>
  <c r="AQ118" i="112"/>
  <c r="BI117" i="112"/>
  <c r="AR117" i="112"/>
  <c r="AQ117" i="112"/>
  <c r="J106" i="112"/>
  <c r="I106" i="112"/>
  <c r="E106" i="112"/>
  <c r="AR116" i="112"/>
  <c r="AQ116" i="112"/>
  <c r="AR115" i="112"/>
  <c r="AQ115" i="112"/>
  <c r="AR113" i="112"/>
  <c r="O93" i="112" s="1"/>
  <c r="AR112" i="112"/>
  <c r="BF111" i="112"/>
  <c r="AR111" i="112"/>
  <c r="BF110" i="112"/>
  <c r="AR110" i="112"/>
  <c r="BF109" i="112"/>
  <c r="AR109" i="112"/>
  <c r="BF108" i="112"/>
  <c r="AR108" i="112"/>
  <c r="BF107" i="112"/>
  <c r="AR107" i="112"/>
  <c r="BF106" i="112"/>
  <c r="AR92" i="112"/>
  <c r="BI90" i="112"/>
  <c r="AR90" i="112"/>
  <c r="BI89" i="112"/>
  <c r="AR89" i="112"/>
  <c r="BI88" i="112"/>
  <c r="AR88" i="112"/>
  <c r="BI87" i="112"/>
  <c r="AR87" i="112"/>
  <c r="BI86" i="112"/>
  <c r="AR86" i="112"/>
  <c r="BI85" i="112"/>
  <c r="AR85" i="112"/>
  <c r="BI84" i="112"/>
  <c r="AR84" i="112"/>
  <c r="BI83" i="112"/>
  <c r="AR83" i="112"/>
  <c r="BI82" i="112"/>
  <c r="AR82" i="112"/>
  <c r="BI81" i="112"/>
  <c r="AR81" i="112"/>
  <c r="BI77" i="112"/>
  <c r="V66" i="112"/>
  <c r="E57" i="112" s="1"/>
  <c r="BI76" i="112"/>
  <c r="BI75" i="112"/>
  <c r="BI74" i="112"/>
  <c r="AS74" i="112"/>
  <c r="BI73" i="112"/>
  <c r="AS73" i="112"/>
  <c r="BI72" i="112"/>
  <c r="AR72" i="112"/>
  <c r="AS72" i="112" s="1"/>
  <c r="BI71" i="112"/>
  <c r="AS71" i="112"/>
  <c r="BI70" i="112"/>
  <c r="AS70" i="112"/>
  <c r="BI69" i="112"/>
  <c r="AR69" i="112"/>
  <c r="AS69" i="112" s="1"/>
  <c r="BO68" i="112"/>
  <c r="BN68" i="112"/>
  <c r="BM68" i="112"/>
  <c r="BI68" i="112"/>
  <c r="AR68" i="112"/>
  <c r="AS68" i="112" s="1"/>
  <c r="BQ67" i="112"/>
  <c r="BP67" i="112"/>
  <c r="BI67" i="112"/>
  <c r="AR67" i="112"/>
  <c r="AS67" i="112" s="1"/>
  <c r="BQ66" i="112"/>
  <c r="BP66" i="112"/>
  <c r="AR66" i="112"/>
  <c r="AS66" i="112" s="1"/>
  <c r="X55" i="112"/>
  <c r="BQ65" i="112"/>
  <c r="BP65" i="112"/>
  <c r="BQ64" i="112"/>
  <c r="BP64" i="112"/>
  <c r="BQ63" i="112"/>
  <c r="BP63" i="112"/>
  <c r="BQ62" i="112"/>
  <c r="BP62" i="112"/>
  <c r="BQ61" i="112"/>
  <c r="BP61" i="112"/>
  <c r="BQ60" i="112"/>
  <c r="BP60" i="112"/>
  <c r="BQ59" i="112"/>
  <c r="BP59" i="112"/>
  <c r="BQ58" i="112"/>
  <c r="BP58" i="112"/>
  <c r="BQ57" i="112"/>
  <c r="BP57" i="112"/>
  <c r="AR57" i="112"/>
  <c r="AS57" i="112" s="1"/>
  <c r="BQ56" i="112"/>
  <c r="BP56" i="112"/>
  <c r="AR56" i="112"/>
  <c r="AS56" i="112" s="1"/>
  <c r="BQ55" i="112"/>
  <c r="BP55" i="112"/>
  <c r="AR55" i="112"/>
  <c r="AS55" i="112" s="1"/>
  <c r="BQ54" i="112"/>
  <c r="BP54" i="112"/>
  <c r="AR54" i="112"/>
  <c r="AS54" i="112" s="1"/>
  <c r="BQ53" i="112"/>
  <c r="BP53" i="112"/>
  <c r="BQ52" i="112"/>
  <c r="BP52" i="112"/>
  <c r="O39" i="112"/>
  <c r="Q39" i="112" s="1"/>
  <c r="T39" i="112" s="1"/>
  <c r="I39" i="112"/>
  <c r="S38" i="112"/>
  <c r="O38" i="112"/>
  <c r="O37" i="112"/>
  <c r="J37" i="112"/>
  <c r="I37" i="112"/>
  <c r="E37" i="112"/>
  <c r="X35" i="112"/>
  <c r="BO45" i="112"/>
  <c r="BN45" i="112"/>
  <c r="BM45" i="112"/>
  <c r="BQ44" i="112"/>
  <c r="BP44" i="112"/>
  <c r="BQ43" i="112"/>
  <c r="BP43" i="112"/>
  <c r="BQ42" i="112"/>
  <c r="BP42" i="112"/>
  <c r="BQ41" i="112"/>
  <c r="BP41" i="112"/>
  <c r="BQ40" i="112"/>
  <c r="BP40" i="112"/>
  <c r="BQ39" i="112"/>
  <c r="BP39" i="112"/>
  <c r="AR39" i="112"/>
  <c r="AT39" i="112" s="1"/>
  <c r="BQ38" i="112"/>
  <c r="BP38" i="112"/>
  <c r="AR38" i="112"/>
  <c r="AT38" i="112" s="1"/>
  <c r="BQ37" i="112"/>
  <c r="BP37" i="112"/>
  <c r="AR37" i="112"/>
  <c r="AT37" i="112" s="1"/>
  <c r="BQ36" i="112"/>
  <c r="BP36" i="112"/>
  <c r="AR36" i="112"/>
  <c r="AT36" i="112" s="1"/>
  <c r="BQ35" i="112"/>
  <c r="BP35" i="112"/>
  <c r="AR35" i="112"/>
  <c r="AT35" i="112" s="1"/>
  <c r="BQ34" i="112"/>
  <c r="BP34" i="112"/>
  <c r="BQ33" i="112"/>
  <c r="BP33" i="112"/>
  <c r="BQ32" i="112"/>
  <c r="BP32" i="112"/>
  <c r="BQ31" i="112"/>
  <c r="BP31" i="112"/>
  <c r="BQ30" i="112"/>
  <c r="BP30" i="112"/>
  <c r="O19" i="112"/>
  <c r="Q19" i="112" s="1"/>
  <c r="T19" i="112" s="1"/>
  <c r="I19" i="112"/>
  <c r="BQ29" i="112"/>
  <c r="BP29" i="112"/>
  <c r="S18" i="112"/>
  <c r="O18" i="112"/>
  <c r="O17" i="112"/>
  <c r="J17" i="112"/>
  <c r="I17" i="112"/>
  <c r="E17" i="112"/>
  <c r="AR26" i="112"/>
  <c r="AR25" i="112"/>
  <c r="BH24" i="112"/>
  <c r="AR24" i="112"/>
  <c r="BH23" i="112"/>
  <c r="AR23" i="112"/>
  <c r="BO22" i="112"/>
  <c r="BN22" i="112"/>
  <c r="BM22" i="112"/>
  <c r="BH22" i="112"/>
  <c r="AR22" i="112"/>
  <c r="BQ21" i="112"/>
  <c r="BP21" i="112"/>
  <c r="BH21" i="112"/>
  <c r="AR21" i="112"/>
  <c r="BQ20" i="112"/>
  <c r="BP20" i="112"/>
  <c r="BH20" i="112"/>
  <c r="AR20" i="112"/>
  <c r="BQ19" i="112"/>
  <c r="BP19" i="112"/>
  <c r="BH19" i="112"/>
  <c r="AR19" i="112"/>
  <c r="BQ18" i="112"/>
  <c r="BP18" i="112"/>
  <c r="BH18" i="112"/>
  <c r="AR18" i="112"/>
  <c r="BQ17" i="112"/>
  <c r="BP17" i="112"/>
  <c r="BH17" i="112"/>
  <c r="AR17" i="112"/>
  <c r="BQ16" i="112"/>
  <c r="BP16" i="112"/>
  <c r="BH16" i="112"/>
  <c r="AR16" i="112"/>
  <c r="T5" i="112"/>
  <c r="BQ15" i="112"/>
  <c r="BP15" i="112"/>
  <c r="BQ14" i="112"/>
  <c r="BP14" i="112"/>
  <c r="BQ13" i="112"/>
  <c r="BP13" i="112"/>
  <c r="BQ12" i="112"/>
  <c r="BP12" i="112"/>
  <c r="BQ11" i="112"/>
  <c r="BP11" i="112"/>
  <c r="BQ10" i="112"/>
  <c r="BP10" i="112"/>
  <c r="BQ9" i="112"/>
  <c r="BP9" i="112"/>
  <c r="BQ8" i="112"/>
  <c r="BP8" i="112"/>
  <c r="BQ7" i="112"/>
  <c r="BP7" i="112"/>
  <c r="BQ6" i="112"/>
  <c r="BP6" i="112"/>
  <c r="Q412" i="111"/>
  <c r="Q411" i="111"/>
  <c r="Q410" i="111"/>
  <c r="Q409" i="111"/>
  <c r="Q408" i="111"/>
  <c r="Q407" i="111"/>
  <c r="Q406" i="111"/>
  <c r="Q405" i="111"/>
  <c r="Q404" i="111"/>
  <c r="Q403" i="111"/>
  <c r="Q402" i="111"/>
  <c r="Q401" i="111"/>
  <c r="Q400" i="111"/>
  <c r="Q399" i="111"/>
  <c r="Q398" i="111"/>
  <c r="Q397" i="111"/>
  <c r="Y396" i="111"/>
  <c r="AA396" i="111" s="1"/>
  <c r="Q396" i="111"/>
  <c r="Y395" i="111"/>
  <c r="Z395" i="111" s="1"/>
  <c r="Q395" i="111"/>
  <c r="Y394" i="111"/>
  <c r="Z394" i="111" s="1"/>
  <c r="Q394" i="111"/>
  <c r="Y393" i="111"/>
  <c r="AA393" i="111" s="1"/>
  <c r="Q393" i="111"/>
  <c r="R376" i="111"/>
  <c r="Q375" i="111"/>
  <c r="Q374" i="111"/>
  <c r="BE373" i="111"/>
  <c r="BD373" i="111"/>
  <c r="Q373" i="111"/>
  <c r="BE372" i="111"/>
  <c r="BD372" i="111"/>
  <c r="Q372" i="111"/>
  <c r="BE371" i="111"/>
  <c r="BD371" i="111"/>
  <c r="Q371" i="111"/>
  <c r="BE370" i="111"/>
  <c r="BD370" i="111"/>
  <c r="Q370" i="111"/>
  <c r="BE369" i="111"/>
  <c r="BD369" i="111"/>
  <c r="AA369" i="111"/>
  <c r="R369" i="111"/>
  <c r="BE368" i="111"/>
  <c r="BD368" i="111"/>
  <c r="AA368" i="111"/>
  <c r="R368" i="111"/>
  <c r="BE367" i="111"/>
  <c r="BD367" i="111"/>
  <c r="R367" i="111"/>
  <c r="R360" i="111"/>
  <c r="R359" i="111"/>
  <c r="R358" i="111"/>
  <c r="R357" i="111"/>
  <c r="R356" i="111"/>
  <c r="Q348" i="111"/>
  <c r="Q347" i="111"/>
  <c r="R346" i="111"/>
  <c r="R345" i="111"/>
  <c r="AA332" i="111"/>
  <c r="AA331" i="111"/>
  <c r="AA330" i="111"/>
  <c r="AA328" i="111"/>
  <c r="AA327" i="111"/>
  <c r="AA326" i="111"/>
  <c r="AA324" i="111"/>
  <c r="AA323" i="111"/>
  <c r="AA322" i="111"/>
  <c r="AA320" i="111"/>
  <c r="AA319" i="111"/>
  <c r="AA318" i="111"/>
  <c r="AE317" i="111"/>
  <c r="R317" i="111"/>
  <c r="AE316" i="111"/>
  <c r="AA316" i="111"/>
  <c r="Q316" i="111"/>
  <c r="AE315" i="111"/>
  <c r="AA315" i="111"/>
  <c r="Q315" i="111"/>
  <c r="AE314" i="111"/>
  <c r="AA314" i="111"/>
  <c r="R314" i="111"/>
  <c r="R313" i="111"/>
  <c r="AA310" i="111"/>
  <c r="Q310" i="111"/>
  <c r="AA309" i="111"/>
  <c r="Q309" i="111"/>
  <c r="Q308" i="111"/>
  <c r="AA307" i="111"/>
  <c r="S307" i="111"/>
  <c r="Q307" i="111"/>
  <c r="AJ306" i="111"/>
  <c r="AA306" i="111"/>
  <c r="Q306" i="111"/>
  <c r="AK305" i="111"/>
  <c r="Q305" i="111"/>
  <c r="AL304" i="111"/>
  <c r="AJ304" i="111"/>
  <c r="AA304" i="111"/>
  <c r="Q304" i="111"/>
  <c r="AJ303" i="111"/>
  <c r="AA303" i="111"/>
  <c r="R303" i="111"/>
  <c r="AI302" i="111"/>
  <c r="R302" i="111"/>
  <c r="S296" i="111"/>
  <c r="AA294" i="111"/>
  <c r="AA293" i="111"/>
  <c r="R293" i="111"/>
  <c r="AJ292" i="111"/>
  <c r="AA292" i="111"/>
  <c r="R292" i="111"/>
  <c r="AJ291" i="111"/>
  <c r="R291" i="111"/>
  <c r="S285" i="111"/>
  <c r="R282" i="111"/>
  <c r="AJ281" i="111"/>
  <c r="AI281" i="111"/>
  <c r="R281" i="111"/>
  <c r="AI280" i="111"/>
  <c r="R280" i="111"/>
  <c r="AL278" i="111"/>
  <c r="AK278" i="111"/>
  <c r="AN277" i="111"/>
  <c r="AL277" i="111"/>
  <c r="AK277" i="111"/>
  <c r="AI277" i="111"/>
  <c r="AA277" i="111"/>
  <c r="AL276" i="111"/>
  <c r="AN275" i="111"/>
  <c r="AL275" i="111"/>
  <c r="AI275" i="111"/>
  <c r="AA275" i="111"/>
  <c r="AL274" i="111"/>
  <c r="AK274" i="111"/>
  <c r="AN273" i="111"/>
  <c r="AM273" i="111"/>
  <c r="AL273" i="111"/>
  <c r="AK273" i="111"/>
  <c r="AA273" i="111"/>
  <c r="AL272" i="111"/>
  <c r="AI271" i="111"/>
  <c r="AA271" i="111"/>
  <c r="R271" i="111"/>
  <c r="AL270" i="111"/>
  <c r="AJ270" i="111"/>
  <c r="R270" i="111"/>
  <c r="AJ269" i="111"/>
  <c r="AI269" i="111"/>
  <c r="AA269" i="111"/>
  <c r="R269" i="111"/>
  <c r="AL268" i="111"/>
  <c r="R268" i="111"/>
  <c r="AA267" i="111"/>
  <c r="R267" i="111"/>
  <c r="AA253" i="111"/>
  <c r="AA251" i="111"/>
  <c r="R250" i="111"/>
  <c r="AA249" i="111"/>
  <c r="R248" i="111"/>
  <c r="AI247" i="111"/>
  <c r="AA247" i="111"/>
  <c r="R247" i="111"/>
  <c r="AK246" i="111"/>
  <c r="AJ246" i="111"/>
  <c r="R246" i="111"/>
  <c r="R245" i="111"/>
  <c r="AA243" i="111"/>
  <c r="AA242" i="111"/>
  <c r="AA241" i="111"/>
  <c r="AA239" i="111"/>
  <c r="AA238" i="111"/>
  <c r="AA237" i="111"/>
  <c r="AA235" i="111"/>
  <c r="AA234" i="111"/>
  <c r="AA233" i="111"/>
  <c r="Q232" i="111"/>
  <c r="AA231" i="111"/>
  <c r="Q231" i="111"/>
  <c r="AA230" i="111"/>
  <c r="Q230" i="111"/>
  <c r="AA229" i="111"/>
  <c r="Q229" i="111"/>
  <c r="Q228" i="111"/>
  <c r="AA227" i="111"/>
  <c r="Q227" i="111"/>
  <c r="AA226" i="111"/>
  <c r="Q226" i="111"/>
  <c r="AL225" i="111"/>
  <c r="AK225" i="111"/>
  <c r="AI225" i="111"/>
  <c r="AA225" i="111"/>
  <c r="R225" i="111"/>
  <c r="AL224" i="111"/>
  <c r="AK224" i="111"/>
  <c r="AJ224" i="111"/>
  <c r="AI224" i="111"/>
  <c r="R224" i="111"/>
  <c r="R217" i="111"/>
  <c r="Q216" i="111"/>
  <c r="Q215" i="111"/>
  <c r="AL214" i="111"/>
  <c r="AJ214" i="111"/>
  <c r="Q214" i="111"/>
  <c r="AL213" i="111"/>
  <c r="AJ213" i="111"/>
  <c r="AA213" i="111"/>
  <c r="Q213" i="111"/>
  <c r="R213" i="111" s="1"/>
  <c r="AL212" i="111"/>
  <c r="AJ212" i="111"/>
  <c r="R212" i="111"/>
  <c r="AL211" i="111"/>
  <c r="AJ211" i="111"/>
  <c r="AA211" i="111"/>
  <c r="R211" i="111"/>
  <c r="R209" i="111"/>
  <c r="R208" i="111"/>
  <c r="R207" i="111"/>
  <c r="R206" i="111"/>
  <c r="R205" i="111"/>
  <c r="R204" i="111"/>
  <c r="R203" i="111"/>
  <c r="Q202" i="111"/>
  <c r="Q201" i="111"/>
  <c r="R196" i="111"/>
  <c r="AG195" i="111"/>
  <c r="R195" i="111"/>
  <c r="AG194" i="111"/>
  <c r="R194" i="111"/>
  <c r="AG193" i="111"/>
  <c r="R193" i="111"/>
  <c r="AG192" i="111"/>
  <c r="R192" i="111"/>
  <c r="AG191" i="111"/>
  <c r="Q191" i="111"/>
  <c r="AG190" i="111"/>
  <c r="Q190" i="111"/>
  <c r="AG189" i="111"/>
  <c r="Q184" i="111"/>
  <c r="R184" i="111" s="1"/>
  <c r="Q181" i="111"/>
  <c r="Q180" i="111"/>
  <c r="Q179" i="111"/>
  <c r="Q178" i="111"/>
  <c r="R177" i="111"/>
  <c r="R176" i="111"/>
  <c r="R175" i="111"/>
  <c r="R174" i="111"/>
  <c r="AA170" i="111"/>
  <c r="AA169" i="111"/>
  <c r="AA167" i="111"/>
  <c r="AA166" i="111"/>
  <c r="AK164" i="111"/>
  <c r="AA164" i="111"/>
  <c r="AK163" i="111"/>
  <c r="AA163" i="111"/>
  <c r="AK162" i="111"/>
  <c r="AA162" i="111"/>
  <c r="AK161" i="111"/>
  <c r="AA161" i="111"/>
  <c r="AK160" i="111"/>
  <c r="AA160" i="111"/>
  <c r="S160" i="111"/>
  <c r="AK159" i="111"/>
  <c r="AA159" i="111"/>
  <c r="Q159" i="111"/>
  <c r="AK158" i="111"/>
  <c r="AA158" i="111"/>
  <c r="Q158" i="111"/>
  <c r="AK157" i="111"/>
  <c r="AA157" i="111"/>
  <c r="Q157" i="111"/>
  <c r="AK156" i="111"/>
  <c r="AA156" i="111"/>
  <c r="R156" i="111"/>
  <c r="AJ155" i="111"/>
  <c r="AI155" i="111"/>
  <c r="R155" i="111"/>
  <c r="AA152" i="111"/>
  <c r="AA151" i="111"/>
  <c r="AA150" i="111"/>
  <c r="AA148" i="111"/>
  <c r="AA146" i="111"/>
  <c r="AA145" i="111"/>
  <c r="AA144" i="111"/>
  <c r="AA142" i="111"/>
  <c r="S141" i="111"/>
  <c r="AK140" i="111"/>
  <c r="AA140" i="111"/>
  <c r="AL139" i="111"/>
  <c r="AK139" i="111"/>
  <c r="AA139" i="111"/>
  <c r="AL138" i="111"/>
  <c r="AK138" i="111"/>
  <c r="AA138" i="111"/>
  <c r="R138" i="111"/>
  <c r="AK137" i="111"/>
  <c r="AA137" i="111"/>
  <c r="R137" i="111"/>
  <c r="AJ136" i="111"/>
  <c r="R136" i="111"/>
  <c r="AA132" i="111"/>
  <c r="AA130" i="111"/>
  <c r="AA128" i="111"/>
  <c r="AA126" i="111"/>
  <c r="R125" i="111"/>
  <c r="AA124" i="111"/>
  <c r="R124" i="111"/>
  <c r="Q116" i="111"/>
  <c r="Q115" i="111"/>
  <c r="R114" i="111"/>
  <c r="Q108" i="111"/>
  <c r="Q107" i="111"/>
  <c r="Q106" i="111"/>
  <c r="Q105" i="111"/>
  <c r="AA104" i="111"/>
  <c r="Q104" i="111"/>
  <c r="Q103" i="111"/>
  <c r="AA102" i="111"/>
  <c r="Q102" i="111"/>
  <c r="Q101" i="111"/>
  <c r="AA100" i="111"/>
  <c r="Q100" i="111"/>
  <c r="Q99" i="111"/>
  <c r="AA98" i="111"/>
  <c r="AA96" i="111"/>
  <c r="Q94" i="111"/>
  <c r="Q93" i="111"/>
  <c r="Q92" i="111"/>
  <c r="Q91" i="111"/>
  <c r="Q90" i="111"/>
  <c r="Q89" i="111"/>
  <c r="Q88" i="111"/>
  <c r="Q87" i="111"/>
  <c r="Q86" i="111"/>
  <c r="Q85" i="111"/>
  <c r="Q84" i="111"/>
  <c r="Q83" i="111"/>
  <c r="Q82" i="111"/>
  <c r="Q81" i="111"/>
  <c r="Q80" i="111"/>
  <c r="Q79" i="111"/>
  <c r="Q78" i="111"/>
  <c r="Q77" i="111"/>
  <c r="Q76" i="111"/>
  <c r="Q75" i="111"/>
  <c r="Q74" i="111"/>
  <c r="Q73" i="111"/>
  <c r="Q72" i="111"/>
  <c r="Q71" i="111"/>
  <c r="Q70" i="111"/>
  <c r="Q69" i="111"/>
  <c r="Q68" i="111"/>
  <c r="Q67" i="111"/>
  <c r="Q66" i="111"/>
  <c r="Q65" i="111"/>
  <c r="Q64" i="111"/>
  <c r="AA63" i="111"/>
  <c r="Q63" i="111"/>
  <c r="AA62" i="111"/>
  <c r="Q62" i="111"/>
  <c r="AA61" i="111"/>
  <c r="Q61" i="111"/>
  <c r="Q60" i="111"/>
  <c r="AA59" i="111"/>
  <c r="Q59" i="111"/>
  <c r="AA58" i="111"/>
  <c r="Q58" i="111"/>
  <c r="AA57" i="111"/>
  <c r="R57" i="111"/>
  <c r="R56" i="111"/>
  <c r="Q54" i="111"/>
  <c r="Q53" i="111"/>
  <c r="Q52" i="111"/>
  <c r="Q51" i="111"/>
  <c r="Q50" i="111"/>
  <c r="Q49" i="111"/>
  <c r="Q48" i="111"/>
  <c r="Q47" i="111"/>
  <c r="Q46" i="111"/>
  <c r="Q45" i="111"/>
  <c r="Q44" i="111"/>
  <c r="Q43" i="111"/>
  <c r="Q42" i="111"/>
  <c r="Q41" i="111"/>
  <c r="Q39" i="111"/>
  <c r="Q38" i="111"/>
  <c r="Q37" i="111"/>
  <c r="Q36" i="111"/>
  <c r="AA35" i="111"/>
  <c r="Q35" i="111"/>
  <c r="AA34" i="111"/>
  <c r="Q34" i="111"/>
  <c r="AA33" i="111"/>
  <c r="Q33" i="111"/>
  <c r="Q32" i="111"/>
  <c r="AA31" i="111"/>
  <c r="Q31" i="111"/>
  <c r="AA30" i="111"/>
  <c r="Q30" i="111"/>
  <c r="AA29" i="111"/>
  <c r="R29" i="111"/>
  <c r="R28" i="111"/>
  <c r="AA21" i="111"/>
  <c r="Q21" i="111"/>
  <c r="Q20" i="111"/>
  <c r="AA19" i="111"/>
  <c r="Q19" i="111"/>
  <c r="Q18" i="111"/>
  <c r="AA17" i="111"/>
  <c r="Q17" i="111"/>
  <c r="Q16" i="111"/>
  <c r="AA15" i="111"/>
  <c r="Q15" i="111"/>
  <c r="Q14" i="111"/>
  <c r="AA13" i="111"/>
  <c r="Q13" i="111"/>
  <c r="Q12" i="111"/>
  <c r="AA11" i="111"/>
  <c r="AA9" i="111"/>
  <c r="AA7" i="111"/>
  <c r="AA5" i="111"/>
  <c r="N35" i="3"/>
  <c r="P35" i="3" s="1"/>
  <c r="O35" i="3"/>
  <c r="N36" i="3"/>
  <c r="O36" i="3"/>
  <c r="N37" i="3"/>
  <c r="P37" i="3" s="1"/>
  <c r="O37" i="3"/>
  <c r="N38" i="3"/>
  <c r="O38" i="3"/>
  <c r="N39" i="3"/>
  <c r="P39" i="3" s="1"/>
  <c r="O39" i="3"/>
  <c r="N40" i="3"/>
  <c r="O40" i="3"/>
  <c r="N41" i="3"/>
  <c r="O41" i="3"/>
  <c r="N42" i="3"/>
  <c r="O42" i="3"/>
  <c r="N43" i="3"/>
  <c r="P43" i="3" s="1"/>
  <c r="O43" i="3"/>
  <c r="N44" i="3"/>
  <c r="O44" i="3"/>
  <c r="N45" i="3"/>
  <c r="P45" i="3" s="1"/>
  <c r="O45" i="3"/>
  <c r="P38" i="3" l="1"/>
  <c r="P36" i="3"/>
  <c r="P42" i="3"/>
  <c r="P41" i="3"/>
  <c r="P44" i="3"/>
  <c r="P40" i="3"/>
  <c r="R407" i="111"/>
  <c r="R395" i="111"/>
  <c r="I95" i="112"/>
  <c r="R18" i="112"/>
  <c r="I199" i="112"/>
  <c r="BH25" i="112"/>
  <c r="BQ22" i="112"/>
  <c r="I108" i="112"/>
  <c r="AT197" i="112"/>
  <c r="AS36" i="112"/>
  <c r="R38" i="112"/>
  <c r="BP68" i="112"/>
  <c r="E73" i="112"/>
  <c r="BP45" i="112"/>
  <c r="AS37" i="112"/>
  <c r="BI78" i="112"/>
  <c r="AT92" i="112"/>
  <c r="E83" i="112" s="1"/>
  <c r="AT128" i="112"/>
  <c r="O107" i="112" s="1"/>
  <c r="AT142" i="112"/>
  <c r="O127" i="112" s="1"/>
  <c r="AT167" i="112"/>
  <c r="O149" i="112" s="1"/>
  <c r="AV290" i="112"/>
  <c r="AT19" i="112"/>
  <c r="BQ45" i="112"/>
  <c r="AT77" i="112"/>
  <c r="O58" i="112" s="1"/>
  <c r="E72" i="112"/>
  <c r="BF112" i="112"/>
  <c r="AT107" i="112"/>
  <c r="BP22" i="112"/>
  <c r="AT16" i="112"/>
  <c r="E5" i="112" s="1"/>
  <c r="AT17" i="112"/>
  <c r="BQ68" i="112"/>
  <c r="AT124" i="112"/>
  <c r="AT148" i="112"/>
  <c r="O128" i="112" s="1"/>
  <c r="AT175" i="112"/>
  <c r="O211" i="112"/>
  <c r="AV277" i="112"/>
  <c r="R180" i="111"/>
  <c r="R215" i="111"/>
  <c r="R370" i="111"/>
  <c r="R30" i="111"/>
  <c r="R58" i="111"/>
  <c r="Y268" i="111"/>
  <c r="AH268" i="111" s="1"/>
  <c r="BF371" i="111"/>
  <c r="I54" i="34"/>
  <c r="R347" i="111"/>
  <c r="Y350" i="111" s="1"/>
  <c r="BF367" i="111"/>
  <c r="R306" i="111"/>
  <c r="R33" i="111"/>
  <c r="R91" i="111"/>
  <c r="R106" i="111"/>
  <c r="R201" i="111"/>
  <c r="M25" i="83" s="1"/>
  <c r="R226" i="111"/>
  <c r="R178" i="111"/>
  <c r="C18" i="16" s="1"/>
  <c r="I45" i="34"/>
  <c r="R405" i="111"/>
  <c r="R409" i="111"/>
  <c r="R16" i="111"/>
  <c r="R228" i="111"/>
  <c r="Y273" i="111"/>
  <c r="AH273" i="111" s="1"/>
  <c r="AH395" i="111"/>
  <c r="AV395" i="111" s="1"/>
  <c r="AW395" i="111" s="1"/>
  <c r="I19" i="34"/>
  <c r="Y293" i="111"/>
  <c r="R393" i="111"/>
  <c r="AH394" i="111"/>
  <c r="AV394" i="111" s="1"/>
  <c r="AW394" i="111" s="1"/>
  <c r="R399" i="111"/>
  <c r="R12" i="111"/>
  <c r="R190" i="111"/>
  <c r="Y271" i="111"/>
  <c r="AH271" i="111" s="1"/>
  <c r="Q28" i="83"/>
  <c r="H50" i="17"/>
  <c r="Q50" i="17" s="1"/>
  <c r="H49" i="17"/>
  <c r="Q49" i="17" s="1"/>
  <c r="H48" i="17"/>
  <c r="Q48" i="17" s="1"/>
  <c r="H47" i="17"/>
  <c r="Q47" i="17" s="1"/>
  <c r="H46" i="17"/>
  <c r="Q46" i="17" s="1"/>
  <c r="H30" i="17"/>
  <c r="H29" i="17"/>
  <c r="H28" i="17"/>
  <c r="H27" i="17"/>
  <c r="H26" i="17"/>
  <c r="H21" i="17"/>
  <c r="I20" i="17"/>
  <c r="D20" i="17"/>
  <c r="G19" i="17"/>
  <c r="I18" i="17"/>
  <c r="D18" i="17"/>
  <c r="G17" i="17"/>
  <c r="K17" i="17" s="1"/>
  <c r="G40" i="35"/>
  <c r="G39" i="35"/>
  <c r="G38" i="35"/>
  <c r="G37" i="35"/>
  <c r="G36" i="35"/>
  <c r="G31" i="35"/>
  <c r="H30" i="35"/>
  <c r="I29" i="35"/>
  <c r="D29" i="35"/>
  <c r="F28" i="35"/>
  <c r="G27" i="35"/>
  <c r="H20" i="35"/>
  <c r="H19" i="35"/>
  <c r="H18" i="35"/>
  <c r="H17" i="35"/>
  <c r="H16" i="35"/>
  <c r="H11" i="35"/>
  <c r="I10" i="35"/>
  <c r="D10" i="35"/>
  <c r="G9" i="35"/>
  <c r="G50" i="17"/>
  <c r="P50" i="17" s="1"/>
  <c r="G49" i="17"/>
  <c r="P49" i="17" s="1"/>
  <c r="G48" i="17"/>
  <c r="P48" i="17" s="1"/>
  <c r="G47" i="17"/>
  <c r="P47" i="17" s="1"/>
  <c r="G29" i="17"/>
  <c r="G28" i="17"/>
  <c r="G27" i="17"/>
  <c r="G21" i="17"/>
  <c r="H20" i="17"/>
  <c r="F19" i="17"/>
  <c r="H18" i="17"/>
  <c r="D40" i="35"/>
  <c r="D39" i="35"/>
  <c r="D38" i="35"/>
  <c r="D37" i="35"/>
  <c r="D36" i="35"/>
  <c r="F31" i="35"/>
  <c r="G30" i="35"/>
  <c r="H29" i="35"/>
  <c r="I28" i="35"/>
  <c r="D28" i="35"/>
  <c r="F27" i="35"/>
  <c r="G20" i="35"/>
  <c r="G19" i="35"/>
  <c r="G18" i="35"/>
  <c r="G17" i="35"/>
  <c r="G16" i="35"/>
  <c r="G11" i="35"/>
  <c r="H10" i="35"/>
  <c r="F9" i="35"/>
  <c r="D41" i="17"/>
  <c r="D40" i="17"/>
  <c r="D39" i="17"/>
  <c r="D38" i="17"/>
  <c r="D30" i="17"/>
  <c r="D29" i="17"/>
  <c r="D28" i="17"/>
  <c r="D27" i="17"/>
  <c r="F21" i="17"/>
  <c r="G20" i="17"/>
  <c r="P20" i="17" s="1"/>
  <c r="I19" i="17"/>
  <c r="D19" i="17"/>
  <c r="G18" i="17"/>
  <c r="O17" i="17"/>
  <c r="I40" i="35"/>
  <c r="I39" i="35"/>
  <c r="I38" i="35"/>
  <c r="I37" i="35"/>
  <c r="I36" i="35"/>
  <c r="I31" i="35"/>
  <c r="D31" i="35"/>
  <c r="F30" i="35"/>
  <c r="G29" i="35"/>
  <c r="H28" i="35"/>
  <c r="I27" i="35"/>
  <c r="D27" i="35"/>
  <c r="D20" i="35"/>
  <c r="D19" i="35"/>
  <c r="D18" i="35"/>
  <c r="D17" i="35"/>
  <c r="D16" i="35"/>
  <c r="F11" i="35"/>
  <c r="G10" i="35"/>
  <c r="I9" i="35"/>
  <c r="AH294" i="111"/>
  <c r="H7" i="35"/>
  <c r="F8" i="35"/>
  <c r="F10" i="35"/>
  <c r="I17" i="35"/>
  <c r="H27" i="35"/>
  <c r="I30" i="35"/>
  <c r="H38" i="35"/>
  <c r="F18" i="17"/>
  <c r="F20" i="17"/>
  <c r="I27" i="17"/>
  <c r="R37" i="17"/>
  <c r="I49" i="17"/>
  <c r="R49" i="17" s="1"/>
  <c r="R65" i="111"/>
  <c r="R69" i="111"/>
  <c r="R99" i="111"/>
  <c r="R102" i="111"/>
  <c r="Y280" i="111"/>
  <c r="AH280" i="111" s="1"/>
  <c r="H23" i="6"/>
  <c r="D56" i="34"/>
  <c r="D67" i="6"/>
  <c r="D29" i="6"/>
  <c r="D24" i="6"/>
  <c r="S24" i="6" s="1"/>
  <c r="D23" i="6"/>
  <c r="G21" i="6"/>
  <c r="G20" i="6"/>
  <c r="D32" i="6"/>
  <c r="D30" i="6"/>
  <c r="P30" i="6" s="1"/>
  <c r="F21" i="6"/>
  <c r="F20" i="6"/>
  <c r="D57" i="34"/>
  <c r="H55" i="34"/>
  <c r="H54" i="34"/>
  <c r="H53" i="34"/>
  <c r="D48" i="34"/>
  <c r="H46" i="34"/>
  <c r="H45" i="34"/>
  <c r="H44" i="34"/>
  <c r="G34" i="34"/>
  <c r="D29" i="34"/>
  <c r="D27" i="34"/>
  <c r="G25" i="34"/>
  <c r="D19" i="34"/>
  <c r="D17" i="34"/>
  <c r="G15" i="34"/>
  <c r="I10" i="34"/>
  <c r="H9" i="34"/>
  <c r="D33" i="6"/>
  <c r="D22" i="6"/>
  <c r="D20" i="6"/>
  <c r="I57" i="34"/>
  <c r="G55" i="34"/>
  <c r="G54" i="34"/>
  <c r="G53" i="34"/>
  <c r="I47" i="34"/>
  <c r="G46" i="34"/>
  <c r="G45" i="34"/>
  <c r="G44" i="34"/>
  <c r="I37" i="34"/>
  <c r="G35" i="34"/>
  <c r="F34" i="34"/>
  <c r="I28" i="34"/>
  <c r="G26" i="34"/>
  <c r="F25" i="34"/>
  <c r="I18" i="34"/>
  <c r="G16" i="34"/>
  <c r="F15" i="34"/>
  <c r="D10" i="34"/>
  <c r="D9" i="34"/>
  <c r="G7" i="34"/>
  <c r="G6" i="34"/>
  <c r="D31" i="6"/>
  <c r="I56" i="34"/>
  <c r="D55" i="34"/>
  <c r="D54" i="34"/>
  <c r="D53" i="34"/>
  <c r="D47" i="34"/>
  <c r="D46" i="34"/>
  <c r="D45" i="34"/>
  <c r="H37" i="34"/>
  <c r="F35" i="34"/>
  <c r="H28" i="34"/>
  <c r="F26" i="34"/>
  <c r="D25" i="34"/>
  <c r="H18" i="34"/>
  <c r="F16" i="34"/>
  <c r="D15" i="34"/>
  <c r="F7" i="34"/>
  <c r="F6" i="34"/>
  <c r="Y275" i="111"/>
  <c r="AH275" i="111" s="1"/>
  <c r="Y292" i="111"/>
  <c r="W17" i="92"/>
  <c r="W49" i="92"/>
  <c r="W38" i="92"/>
  <c r="R315" i="111"/>
  <c r="Y314" i="111" s="1"/>
  <c r="Y356" i="111"/>
  <c r="R372" i="111"/>
  <c r="Z393" i="111"/>
  <c r="D7" i="35"/>
  <c r="I7" i="35"/>
  <c r="G8" i="35"/>
  <c r="D9" i="35"/>
  <c r="D11" i="35"/>
  <c r="I18" i="35"/>
  <c r="G28" i="35"/>
  <c r="H31" i="35"/>
  <c r="H39" i="35"/>
  <c r="D21" i="17"/>
  <c r="I28" i="17"/>
  <c r="I46" i="17"/>
  <c r="R46" i="17" s="1"/>
  <c r="I50" i="17"/>
  <c r="R50" i="17" s="1"/>
  <c r="D8" i="34"/>
  <c r="D26" i="34"/>
  <c r="I46" i="34"/>
  <c r="I55" i="34"/>
  <c r="Y254" i="111"/>
  <c r="AH252" i="111" s="1"/>
  <c r="R230" i="111"/>
  <c r="Y272" i="111"/>
  <c r="Y274" i="111"/>
  <c r="AH274" i="111" s="1"/>
  <c r="Y281" i="111"/>
  <c r="AH281" i="111" s="1"/>
  <c r="AH291" i="111"/>
  <c r="AH293" i="111"/>
  <c r="H24" i="81"/>
  <c r="H20" i="81"/>
  <c r="H14" i="81"/>
  <c r="J14" i="81" s="1"/>
  <c r="H23" i="81"/>
  <c r="H19" i="81"/>
  <c r="H16" i="81"/>
  <c r="H22" i="81"/>
  <c r="H18" i="81"/>
  <c r="H21" i="81"/>
  <c r="H15" i="81"/>
  <c r="H17" i="81"/>
  <c r="H25" i="81"/>
  <c r="AH392" i="111"/>
  <c r="AV392" i="111" s="1"/>
  <c r="AW392" i="111" s="1"/>
  <c r="R403" i="111"/>
  <c r="F7" i="35"/>
  <c r="H8" i="35"/>
  <c r="H9" i="35"/>
  <c r="I11" i="35"/>
  <c r="I19" i="35"/>
  <c r="F29" i="35"/>
  <c r="H36" i="35"/>
  <c r="H40" i="35"/>
  <c r="H17" i="17"/>
  <c r="H19" i="17"/>
  <c r="Q19" i="17" s="1"/>
  <c r="I21" i="17"/>
  <c r="I29" i="17"/>
  <c r="R39" i="17"/>
  <c r="I47" i="17"/>
  <c r="R47" i="17" s="1"/>
  <c r="D16" i="34"/>
  <c r="D28" i="34"/>
  <c r="I38" i="34"/>
  <c r="I48" i="34"/>
  <c r="I23" i="6"/>
  <c r="Q29" i="6"/>
  <c r="X31" i="109"/>
  <c r="X27" i="109"/>
  <c r="X23" i="109"/>
  <c r="X34" i="109"/>
  <c r="X30" i="109"/>
  <c r="X26" i="109"/>
  <c r="X18" i="109"/>
  <c r="X33" i="109"/>
  <c r="X29" i="109"/>
  <c r="X25" i="109"/>
  <c r="X24" i="109"/>
  <c r="X32" i="109"/>
  <c r="X28" i="109"/>
  <c r="Y143" i="111"/>
  <c r="R157" i="111"/>
  <c r="P39" i="106" s="1"/>
  <c r="R48" i="111"/>
  <c r="R115" i="111"/>
  <c r="AH132" i="111"/>
  <c r="BH132" i="111" s="1"/>
  <c r="Y269" i="111"/>
  <c r="AH269" i="111" s="1"/>
  <c r="Y294" i="111"/>
  <c r="R304" i="111"/>
  <c r="AH393" i="111"/>
  <c r="AV393" i="111" s="1"/>
  <c r="AW393" i="111" s="1"/>
  <c r="AA394" i="111"/>
  <c r="AA395" i="111"/>
  <c r="R397" i="111"/>
  <c r="R411" i="111"/>
  <c r="G7" i="35"/>
  <c r="D8" i="35"/>
  <c r="I8" i="35"/>
  <c r="I16" i="35"/>
  <c r="I20" i="35"/>
  <c r="D30" i="35"/>
  <c r="H37" i="35"/>
  <c r="I26" i="17"/>
  <c r="R26" i="17" s="1"/>
  <c r="I30" i="17"/>
  <c r="R30" i="17" s="1"/>
  <c r="R40" i="17"/>
  <c r="I48" i="17"/>
  <c r="R48" i="17" s="1"/>
  <c r="D7" i="34"/>
  <c r="I9" i="34"/>
  <c r="D18" i="34"/>
  <c r="I29" i="34"/>
  <c r="I44" i="34"/>
  <c r="I53" i="34"/>
  <c r="D21" i="6"/>
  <c r="G218" i="112"/>
  <c r="S15" i="81" s="1"/>
  <c r="B31" i="81" s="1"/>
  <c r="G239" i="112"/>
  <c r="L239" i="112" s="1"/>
  <c r="P184" i="112"/>
  <c r="G261" i="112"/>
  <c r="L261" i="112" s="1"/>
  <c r="P128" i="112"/>
  <c r="P107" i="112"/>
  <c r="T107" i="112" s="1"/>
  <c r="G262" i="112"/>
  <c r="L262" i="112" s="1"/>
  <c r="P149" i="112"/>
  <c r="G57" i="112"/>
  <c r="H57" i="112" s="1"/>
  <c r="AT40" i="112"/>
  <c r="P17" i="112" s="1"/>
  <c r="Q17" i="112" s="1"/>
  <c r="T17" i="112" s="1"/>
  <c r="AS38" i="112"/>
  <c r="AT78" i="112"/>
  <c r="AT18" i="112"/>
  <c r="AS35" i="112"/>
  <c r="AS39" i="112"/>
  <c r="BI91" i="112"/>
  <c r="AT108" i="112"/>
  <c r="AT168" i="112"/>
  <c r="AT196" i="112"/>
  <c r="O184" i="112" s="1"/>
  <c r="AT82" i="112"/>
  <c r="AT81" i="112"/>
  <c r="AT174" i="112"/>
  <c r="O150" i="112" s="1"/>
  <c r="AT75" i="112"/>
  <c r="O57" i="112" s="1"/>
  <c r="AT76" i="112"/>
  <c r="AT125" i="112"/>
  <c r="AT127" i="112"/>
  <c r="O106" i="112" s="1"/>
  <c r="AT149" i="112"/>
  <c r="AT183" i="112"/>
  <c r="AT182" i="112"/>
  <c r="O151" i="112" s="1"/>
  <c r="AT213" i="112"/>
  <c r="AT212" i="112"/>
  <c r="O198" i="112" s="1"/>
  <c r="AT143" i="112"/>
  <c r="BI233" i="112"/>
  <c r="BI253" i="112"/>
  <c r="BI245" i="112"/>
  <c r="R82" i="111"/>
  <c r="R39" i="111"/>
  <c r="R60" i="111"/>
  <c r="R79" i="111"/>
  <c r="R37" i="111"/>
  <c r="Y126" i="111"/>
  <c r="Y128" i="111"/>
  <c r="Y130" i="111"/>
  <c r="AH133" i="111"/>
  <c r="BH133" i="111" s="1"/>
  <c r="Y125" i="111"/>
  <c r="Y127" i="111"/>
  <c r="Y129" i="111"/>
  <c r="Y131" i="111"/>
  <c r="Y151" i="111"/>
  <c r="Y149" i="111"/>
  <c r="Y147" i="111"/>
  <c r="Y140" i="111"/>
  <c r="Y138" i="111"/>
  <c r="Y145" i="111"/>
  <c r="Y137" i="111"/>
  <c r="Y141" i="111"/>
  <c r="Y144" i="111"/>
  <c r="Y146" i="111"/>
  <c r="Y251" i="111"/>
  <c r="AH247" i="111" s="1"/>
  <c r="Y249" i="111"/>
  <c r="AH249" i="111" s="1"/>
  <c r="Y252" i="111"/>
  <c r="Y361" i="111"/>
  <c r="Y357" i="111"/>
  <c r="Y360" i="111"/>
  <c r="Y362" i="111"/>
  <c r="Y358" i="111"/>
  <c r="Y203" i="111"/>
  <c r="AH124" i="111"/>
  <c r="BH124" i="111" s="1"/>
  <c r="AH125" i="111"/>
  <c r="BH125" i="111" s="1"/>
  <c r="AH127" i="111"/>
  <c r="BH127" i="111" s="1"/>
  <c r="AH129" i="111"/>
  <c r="BH129" i="111" s="1"/>
  <c r="AH131" i="111"/>
  <c r="BH131" i="111" s="1"/>
  <c r="Y136" i="111"/>
  <c r="Y142" i="111"/>
  <c r="Y150" i="111"/>
  <c r="Y152" i="111"/>
  <c r="Y247" i="111"/>
  <c r="AH245" i="111" s="1"/>
  <c r="Y359" i="111"/>
  <c r="Y124" i="111"/>
  <c r="AH126" i="111"/>
  <c r="BH126" i="111" s="1"/>
  <c r="AH128" i="111"/>
  <c r="BH128" i="111" s="1"/>
  <c r="AH130" i="111"/>
  <c r="BH130" i="111" s="1"/>
  <c r="Y132" i="111"/>
  <c r="Y133" i="111"/>
  <c r="AH136" i="111"/>
  <c r="Y139" i="111"/>
  <c r="Y148" i="111"/>
  <c r="Y325" i="111"/>
  <c r="AH317" i="111" s="1"/>
  <c r="Y313" i="111"/>
  <c r="Y329" i="111"/>
  <c r="Y317" i="111"/>
  <c r="Y321" i="111"/>
  <c r="BF373" i="111"/>
  <c r="Y248" i="111"/>
  <c r="BF369" i="111"/>
  <c r="BF372" i="111"/>
  <c r="Y212" i="111"/>
  <c r="Y250" i="111"/>
  <c r="Y253" i="111"/>
  <c r="AH251" i="111" s="1"/>
  <c r="Y277" i="111"/>
  <c r="AH277" i="111" s="1"/>
  <c r="Y278" i="111"/>
  <c r="AH292" i="111"/>
  <c r="BF368" i="111"/>
  <c r="Y267" i="111"/>
  <c r="Y270" i="111"/>
  <c r="Y276" i="111"/>
  <c r="Y291" i="111"/>
  <c r="BF370" i="111"/>
  <c r="R401" i="111"/>
  <c r="Z396" i="111"/>
  <c r="P40" i="17" l="1"/>
  <c r="Q39" i="17"/>
  <c r="Q17" i="17"/>
  <c r="R17" i="17"/>
  <c r="Q18" i="17"/>
  <c r="R41" i="17"/>
  <c r="P18" i="17"/>
  <c r="R27" i="17"/>
  <c r="R38" i="17"/>
  <c r="P41" i="17"/>
  <c r="Q40" i="17"/>
  <c r="P38" i="17"/>
  <c r="P17" i="17"/>
  <c r="Q27" i="17"/>
  <c r="Q37" i="17"/>
  <c r="Q41" i="17"/>
  <c r="P29" i="17"/>
  <c r="P39" i="17"/>
  <c r="Q38" i="17"/>
  <c r="R29" i="17"/>
  <c r="O18" i="17"/>
  <c r="P21" i="17"/>
  <c r="O20" i="17"/>
  <c r="O21" i="17"/>
  <c r="P30" i="17"/>
  <c r="R20" i="17"/>
  <c r="Q28" i="17"/>
  <c r="O19" i="17"/>
  <c r="P27" i="17"/>
  <c r="R18" i="17"/>
  <c r="Q21" i="17"/>
  <c r="Q29" i="17"/>
  <c r="R21" i="17"/>
  <c r="R28" i="17"/>
  <c r="R19" i="17"/>
  <c r="Q20" i="17"/>
  <c r="P28" i="17"/>
  <c r="P19" i="17"/>
  <c r="Q26" i="17"/>
  <c r="Q30" i="17"/>
  <c r="S23" i="6"/>
  <c r="R32" i="6"/>
  <c r="P29" i="6"/>
  <c r="R67" i="6"/>
  <c r="Q67" i="6"/>
  <c r="S67" i="6"/>
  <c r="Q30" i="6"/>
  <c r="P20" i="6"/>
  <c r="S33" i="6"/>
  <c r="S32" i="6"/>
  <c r="R23" i="6"/>
  <c r="P21" i="6"/>
  <c r="Q20" i="6"/>
  <c r="Q21" i="6"/>
  <c r="L57" i="112"/>
  <c r="E13" i="16" s="1"/>
  <c r="H239" i="112"/>
  <c r="P57" i="112"/>
  <c r="Q57" i="112" s="1"/>
  <c r="T57" i="112" s="1"/>
  <c r="P37" i="112"/>
  <c r="Q37" i="112" s="1"/>
  <c r="T37" i="112" s="1"/>
  <c r="P58" i="112"/>
  <c r="P150" i="112"/>
  <c r="P198" i="112"/>
  <c r="Q198" i="112" s="1"/>
  <c r="T198" i="112" s="1"/>
  <c r="G250" i="112"/>
  <c r="L251" i="112" s="1"/>
  <c r="H262" i="112"/>
  <c r="P127" i="112"/>
  <c r="Q127" i="112" s="1"/>
  <c r="T127" i="112" s="1"/>
  <c r="G5" i="112"/>
  <c r="L5" i="112" s="1"/>
  <c r="P106" i="112"/>
  <c r="T106" i="112" s="1"/>
  <c r="P151" i="112"/>
  <c r="P211" i="112"/>
  <c r="Q211" i="112" s="1"/>
  <c r="T211" i="112" s="1"/>
  <c r="H261" i="112"/>
  <c r="G72" i="112"/>
  <c r="AD16" i="7" s="1"/>
  <c r="Q58" i="112"/>
  <c r="T58" i="112" s="1"/>
  <c r="Q150" i="112"/>
  <c r="T150" i="112" s="1"/>
  <c r="P93" i="112"/>
  <c r="Q149" i="112"/>
  <c r="T149" i="112" s="1"/>
  <c r="Q128" i="112"/>
  <c r="T128" i="112" s="1"/>
  <c r="H5" i="112"/>
  <c r="R16" i="83"/>
  <c r="D11" i="83" s="1"/>
  <c r="G73" i="112"/>
  <c r="L73" i="112" s="1"/>
  <c r="G83" i="112"/>
  <c r="L83" i="112" s="1"/>
  <c r="P277" i="112"/>
  <c r="Q277" i="112" s="1"/>
  <c r="T277" i="112" s="1"/>
  <c r="Y225" i="111"/>
  <c r="P28" i="83"/>
  <c r="Y165" i="111"/>
  <c r="N24" i="83"/>
  <c r="O28" i="83"/>
  <c r="P24" i="83"/>
  <c r="Q24" i="83"/>
  <c r="N23" i="83"/>
  <c r="O24" i="83"/>
  <c r="L25" i="83"/>
  <c r="Z293" i="111"/>
  <c r="Y320" i="111"/>
  <c r="Z320" i="111" s="1"/>
  <c r="AH225" i="111"/>
  <c r="Y214" i="111"/>
  <c r="AH214" i="111" s="1"/>
  <c r="Y347" i="111"/>
  <c r="AA347" i="111" s="1"/>
  <c r="Y352" i="111"/>
  <c r="AH350" i="111" s="1"/>
  <c r="AY350" i="111" s="1"/>
  <c r="AZ350" i="111" s="1"/>
  <c r="Y351" i="111"/>
  <c r="AA351" i="111" s="1"/>
  <c r="Y348" i="111"/>
  <c r="AA348" i="111" s="1"/>
  <c r="Y213" i="111"/>
  <c r="AH213" i="111" s="1"/>
  <c r="Y211" i="111"/>
  <c r="AH211" i="111" s="1"/>
  <c r="Y159" i="111"/>
  <c r="Y346" i="111"/>
  <c r="AA346" i="111" s="1"/>
  <c r="Y162" i="111"/>
  <c r="AH162" i="111" s="1"/>
  <c r="Y155" i="111"/>
  <c r="Y156" i="111"/>
  <c r="Y170" i="111"/>
  <c r="Y163" i="111"/>
  <c r="AH163" i="111" s="1"/>
  <c r="Y164" i="111"/>
  <c r="AH164" i="111" s="1"/>
  <c r="Y368" i="111"/>
  <c r="AH369" i="111"/>
  <c r="BB369" i="111" s="1"/>
  <c r="BC369" i="111" s="1"/>
  <c r="Y191" i="111"/>
  <c r="Z191" i="111" s="1"/>
  <c r="AA191" i="111" s="1"/>
  <c r="Y243" i="111"/>
  <c r="Y169" i="111"/>
  <c r="Y166" i="111"/>
  <c r="Z281" i="111"/>
  <c r="Y232" i="111"/>
  <c r="Y160" i="111"/>
  <c r="AH160" i="111" s="1"/>
  <c r="Y157" i="111"/>
  <c r="Z157" i="111" s="1"/>
  <c r="Y168" i="111"/>
  <c r="Y11" i="111"/>
  <c r="Y318" i="111"/>
  <c r="AH314" i="111" s="1"/>
  <c r="Y326" i="111"/>
  <c r="Z326" i="111" s="1"/>
  <c r="Y13" i="111"/>
  <c r="Y158" i="111"/>
  <c r="AH158" i="111" s="1"/>
  <c r="AH155" i="111"/>
  <c r="Y315" i="111"/>
  <c r="Z315" i="111" s="1"/>
  <c r="Y161" i="111"/>
  <c r="Z161" i="111" s="1"/>
  <c r="Y167" i="111"/>
  <c r="Y105" i="111"/>
  <c r="AH372" i="111"/>
  <c r="BB372" i="111" s="1"/>
  <c r="BC372" i="111" s="1"/>
  <c r="Y175" i="111"/>
  <c r="P44" i="106"/>
  <c r="E27" i="106" s="1"/>
  <c r="Y102" i="111"/>
  <c r="Y104" i="111"/>
  <c r="C13" i="16"/>
  <c r="Y174" i="111"/>
  <c r="A13" i="16" s="1"/>
  <c r="Z273" i="111"/>
  <c r="AH302" i="111"/>
  <c r="Y310" i="111"/>
  <c r="AH305" i="111"/>
  <c r="Y309" i="111"/>
  <c r="Y306" i="111"/>
  <c r="AH272" i="111"/>
  <c r="Z271" i="111"/>
  <c r="Y303" i="111"/>
  <c r="Y304" i="111"/>
  <c r="Y238" i="111"/>
  <c r="Y14" i="111"/>
  <c r="Y12" i="111"/>
  <c r="Y20" i="111"/>
  <c r="Y10" i="111"/>
  <c r="M28" i="83"/>
  <c r="M26" i="83"/>
  <c r="M24" i="83"/>
  <c r="L28" i="83"/>
  <c r="L26" i="83"/>
  <c r="L24" i="83"/>
  <c r="O27" i="83"/>
  <c r="O25" i="83"/>
  <c r="O23" i="83"/>
  <c r="N28" i="83"/>
  <c r="N27" i="83"/>
  <c r="Y202" i="111"/>
  <c r="Z202" i="111" s="1"/>
  <c r="AA202" i="111" s="1"/>
  <c r="Q27" i="83"/>
  <c r="Q25" i="83"/>
  <c r="Q23" i="83"/>
  <c r="P27" i="83"/>
  <c r="P25" i="83"/>
  <c r="P23" i="83"/>
  <c r="N26" i="83"/>
  <c r="N25" i="83"/>
  <c r="Y201" i="111"/>
  <c r="Z201" i="111" s="1"/>
  <c r="AA201" i="111" s="1"/>
  <c r="Y302" i="111"/>
  <c r="AH303" i="111"/>
  <c r="Y204" i="111"/>
  <c r="Z204" i="111" s="1"/>
  <c r="AA204" i="111" s="1"/>
  <c r="Z144" i="111"/>
  <c r="Y97" i="111"/>
  <c r="P26" i="83"/>
  <c r="Q26" i="83"/>
  <c r="Y114" i="111"/>
  <c r="Y116" i="111"/>
  <c r="AH115" i="111" s="1"/>
  <c r="Y115" i="111"/>
  <c r="AA115" i="111" s="1"/>
  <c r="Y117" i="111"/>
  <c r="Z117" i="111" s="1"/>
  <c r="Y190" i="111"/>
  <c r="Z190" i="111" s="1"/>
  <c r="AA190" i="111" s="1"/>
  <c r="Y192" i="111"/>
  <c r="AH191" i="111" s="1"/>
  <c r="AM191" i="111" s="1"/>
  <c r="AN191" i="111" s="1"/>
  <c r="Y230" i="111"/>
  <c r="Y234" i="111"/>
  <c r="Y236" i="111"/>
  <c r="Y235" i="111"/>
  <c r="Y224" i="111"/>
  <c r="Y239" i="111"/>
  <c r="Z239" i="111" s="1"/>
  <c r="AH224" i="111"/>
  <c r="Y241" i="111"/>
  <c r="Y237" i="111"/>
  <c r="Y233" i="111"/>
  <c r="Y369" i="111"/>
  <c r="AH371" i="111"/>
  <c r="BB371" i="111" s="1"/>
  <c r="BC371" i="111" s="1"/>
  <c r="Y367" i="111"/>
  <c r="AH367" i="111" s="1"/>
  <c r="BB367" i="111" s="1"/>
  <c r="BC367" i="111" s="1"/>
  <c r="AH370" i="111"/>
  <c r="BB370" i="111" s="1"/>
  <c r="BC370" i="111" s="1"/>
  <c r="AH373" i="111"/>
  <c r="BB373" i="111" s="1"/>
  <c r="BC373" i="111" s="1"/>
  <c r="Y226" i="111"/>
  <c r="Y99" i="111"/>
  <c r="Y98" i="111"/>
  <c r="Y101" i="111"/>
  <c r="Y96" i="111"/>
  <c r="Y229" i="111"/>
  <c r="AH368" i="111"/>
  <c r="BB368" i="111" s="1"/>
  <c r="BC368" i="111" s="1"/>
  <c r="Y242" i="111"/>
  <c r="Y228" i="111"/>
  <c r="Y231" i="111"/>
  <c r="Y194" i="111"/>
  <c r="AH193" i="111" s="1"/>
  <c r="AM193" i="111" s="1"/>
  <c r="AN193" i="111" s="1"/>
  <c r="Y100" i="111"/>
  <c r="Y103" i="111"/>
  <c r="O26" i="83"/>
  <c r="L23" i="83"/>
  <c r="L27" i="83"/>
  <c r="M23" i="83"/>
  <c r="M27" i="83"/>
  <c r="Z146" i="111"/>
  <c r="Z145" i="111"/>
  <c r="Z126" i="111"/>
  <c r="P43" i="106"/>
  <c r="Z132" i="111"/>
  <c r="Y21" i="111"/>
  <c r="Y9" i="111"/>
  <c r="Y8" i="111"/>
  <c r="Y6" i="111"/>
  <c r="Y19" i="111"/>
  <c r="Y18" i="111"/>
  <c r="Y7" i="111"/>
  <c r="Y22" i="111"/>
  <c r="Y16" i="111"/>
  <c r="Y15" i="111"/>
  <c r="Y17" i="111"/>
  <c r="Y5" i="111"/>
  <c r="Y196" i="111"/>
  <c r="Z196" i="111" s="1"/>
  <c r="AA196" i="111" s="1"/>
  <c r="Y195" i="111"/>
  <c r="Z195" i="111" s="1"/>
  <c r="AA195" i="111" s="1"/>
  <c r="Y193" i="111"/>
  <c r="AH192" i="111" s="1"/>
  <c r="AM192" i="111" s="1"/>
  <c r="AN192" i="111" s="1"/>
  <c r="Z150" i="111"/>
  <c r="W53" i="92"/>
  <c r="Y118" i="111"/>
  <c r="P41" i="106"/>
  <c r="P42" i="106"/>
  <c r="Y227" i="111"/>
  <c r="Z227" i="111" s="1"/>
  <c r="Y58" i="111"/>
  <c r="Y332" i="111"/>
  <c r="Z332" i="111" s="1"/>
  <c r="Y322" i="111"/>
  <c r="Z322" i="111" s="1"/>
  <c r="Y319" i="111"/>
  <c r="Z319" i="111" s="1"/>
  <c r="Z142" i="111"/>
  <c r="F36" i="106"/>
  <c r="W21" i="92"/>
  <c r="P40" i="106"/>
  <c r="Y324" i="111"/>
  <c r="Z324" i="111" s="1"/>
  <c r="Z314" i="111"/>
  <c r="Y328" i="111"/>
  <c r="Z328" i="111" s="1"/>
  <c r="Y32" i="111"/>
  <c r="Y59" i="111"/>
  <c r="P36" i="106"/>
  <c r="P34" i="106"/>
  <c r="P35" i="106"/>
  <c r="Y307" i="111"/>
  <c r="Y305" i="111"/>
  <c r="Y240" i="111"/>
  <c r="Y316" i="111"/>
  <c r="Z316" i="111" s="1"/>
  <c r="Y330" i="111"/>
  <c r="Z330" i="111" s="1"/>
  <c r="Y327" i="111"/>
  <c r="Z327" i="111" s="1"/>
  <c r="Y323" i="111"/>
  <c r="Z323" i="111" s="1"/>
  <c r="Z128" i="111"/>
  <c r="Y62" i="111"/>
  <c r="P37" i="106"/>
  <c r="P38" i="106"/>
  <c r="Y331" i="111"/>
  <c r="Z331" i="111" s="1"/>
  <c r="AH306" i="111"/>
  <c r="AH304" i="111"/>
  <c r="F29" i="3"/>
  <c r="G27" i="3"/>
  <c r="E26" i="3"/>
  <c r="D25" i="3"/>
  <c r="D24" i="3"/>
  <c r="D23" i="3"/>
  <c r="D22" i="3"/>
  <c r="D21" i="3"/>
  <c r="D20" i="3"/>
  <c r="E28" i="3"/>
  <c r="F26" i="3"/>
  <c r="E24" i="3"/>
  <c r="E22" i="3"/>
  <c r="D29" i="3"/>
  <c r="E27" i="3"/>
  <c r="D26" i="3"/>
  <c r="G24" i="3"/>
  <c r="G23" i="3"/>
  <c r="G22" i="3"/>
  <c r="G21" i="3"/>
  <c r="G20" i="3"/>
  <c r="F25" i="3"/>
  <c r="F30" i="3"/>
  <c r="G28" i="3"/>
  <c r="G26" i="3"/>
  <c r="G25" i="3"/>
  <c r="F24" i="3"/>
  <c r="F23" i="3"/>
  <c r="F22" i="3"/>
  <c r="F21" i="3"/>
  <c r="F20" i="3"/>
  <c r="D30" i="3"/>
  <c r="E25" i="3"/>
  <c r="E23" i="3"/>
  <c r="E21" i="3"/>
  <c r="E20" i="3"/>
  <c r="Y308" i="111"/>
  <c r="Q107" i="112"/>
  <c r="G107" i="112"/>
  <c r="G94" i="112" s="1"/>
  <c r="G211" i="112"/>
  <c r="G149" i="112"/>
  <c r="G127" i="112"/>
  <c r="G212" i="112"/>
  <c r="G184" i="112"/>
  <c r="G38" i="112"/>
  <c r="G18" i="112"/>
  <c r="Q184" i="112"/>
  <c r="T184" i="112" s="1"/>
  <c r="H218" i="112"/>
  <c r="L218" i="112"/>
  <c r="Q151" i="112"/>
  <c r="T151" i="112" s="1"/>
  <c r="AS41" i="112"/>
  <c r="AS40" i="112"/>
  <c r="AH156" i="111"/>
  <c r="Z203" i="111"/>
  <c r="AA203" i="111" s="1"/>
  <c r="AH202" i="111"/>
  <c r="AM202" i="111" s="1"/>
  <c r="AN202" i="111" s="1"/>
  <c r="AH276" i="111"/>
  <c r="Z275" i="111"/>
  <c r="AH212" i="111"/>
  <c r="Z247" i="111"/>
  <c r="AH246" i="111"/>
  <c r="AH345" i="111"/>
  <c r="AY345" i="111" s="1"/>
  <c r="AZ345" i="111" s="1"/>
  <c r="AA359" i="111"/>
  <c r="AH359" i="111"/>
  <c r="AW359" i="111" s="1"/>
  <c r="AX359" i="111" s="1"/>
  <c r="Z359" i="111"/>
  <c r="Z294" i="111"/>
  <c r="Z253" i="111"/>
  <c r="AA357" i="111"/>
  <c r="Z357" i="111"/>
  <c r="AH357" i="111"/>
  <c r="AW357" i="111" s="1"/>
  <c r="AX357" i="111" s="1"/>
  <c r="AH138" i="111"/>
  <c r="Z138" i="111"/>
  <c r="Z151" i="111"/>
  <c r="Z124" i="111"/>
  <c r="Z292" i="111"/>
  <c r="Y29" i="111"/>
  <c r="Y30" i="111"/>
  <c r="Y60" i="111"/>
  <c r="Y63" i="111"/>
  <c r="AA352" i="111"/>
  <c r="AH248" i="111"/>
  <c r="Z251" i="111"/>
  <c r="Y35" i="111"/>
  <c r="Y56" i="111"/>
  <c r="Z269" i="111"/>
  <c r="AH270" i="111"/>
  <c r="AH250" i="111"/>
  <c r="Z249" i="111"/>
  <c r="AA350" i="111"/>
  <c r="AH348" i="111"/>
  <c r="AY348" i="111" s="1"/>
  <c r="AZ348" i="111" s="1"/>
  <c r="Y345" i="111"/>
  <c r="AH313" i="111"/>
  <c r="Z148" i="111"/>
  <c r="AA358" i="111"/>
  <c r="AH358" i="111"/>
  <c r="AW358" i="111" s="1"/>
  <c r="AX358" i="111" s="1"/>
  <c r="Z358" i="111"/>
  <c r="AH361" i="111"/>
  <c r="AW361" i="111" s="1"/>
  <c r="AX361" i="111" s="1"/>
  <c r="AA361" i="111"/>
  <c r="Z361" i="111"/>
  <c r="AH140" i="111"/>
  <c r="Z140" i="111"/>
  <c r="Z130" i="111"/>
  <c r="Y28" i="111"/>
  <c r="Y33" i="111"/>
  <c r="Y31" i="111"/>
  <c r="Y61" i="111"/>
  <c r="Z116" i="111"/>
  <c r="AA116" i="111"/>
  <c r="AA360" i="111"/>
  <c r="Z360" i="111"/>
  <c r="AH360" i="111"/>
  <c r="AW360" i="111" s="1"/>
  <c r="AX360" i="111" s="1"/>
  <c r="AH267" i="111"/>
  <c r="Z267" i="111"/>
  <c r="AH278" i="111"/>
  <c r="Z277" i="111"/>
  <c r="AH318" i="111"/>
  <c r="Y349" i="111"/>
  <c r="Z350" i="111" s="1"/>
  <c r="Z139" i="111"/>
  <c r="AH139" i="111"/>
  <c r="Z152" i="111"/>
  <c r="AA362" i="111"/>
  <c r="Z362" i="111"/>
  <c r="AH362" i="111"/>
  <c r="Z137" i="111"/>
  <c r="AH137" i="111"/>
  <c r="Y34" i="111"/>
  <c r="Y57" i="111"/>
  <c r="E30" i="106" l="1"/>
  <c r="E28" i="106"/>
  <c r="E18" i="106"/>
  <c r="E17" i="106"/>
  <c r="Z156" i="111"/>
  <c r="AH195" i="111"/>
  <c r="AM195" i="111" s="1"/>
  <c r="AN195" i="111" s="1"/>
  <c r="AH189" i="111"/>
  <c r="AM189" i="111" s="1"/>
  <c r="AN189" i="111" s="1"/>
  <c r="Z225" i="111"/>
  <c r="H72" i="112"/>
  <c r="AD15" i="7"/>
  <c r="C10" i="7" s="1"/>
  <c r="D11" i="7"/>
  <c r="U7" i="7"/>
  <c r="Q106" i="112"/>
  <c r="B11" i="83"/>
  <c r="AD18" i="7"/>
  <c r="I13" i="7" s="1"/>
  <c r="R15" i="83"/>
  <c r="D10" i="83" s="1"/>
  <c r="R18" i="83"/>
  <c r="K13" i="83" s="1"/>
  <c r="R17" i="83"/>
  <c r="C12" i="83" s="1"/>
  <c r="L72" i="112"/>
  <c r="AD17" i="7"/>
  <c r="I12" i="7" s="1"/>
  <c r="H250" i="112"/>
  <c r="B13" i="7"/>
  <c r="L250" i="112"/>
  <c r="S16" i="81" s="1"/>
  <c r="H39" i="81" s="1"/>
  <c r="H251" i="112"/>
  <c r="B10" i="7"/>
  <c r="K10" i="7"/>
  <c r="J10" i="7"/>
  <c r="J11" i="83"/>
  <c r="K11" i="7"/>
  <c r="Y7" i="7"/>
  <c r="V9" i="7"/>
  <c r="C10" i="83"/>
  <c r="Q93" i="112"/>
  <c r="T93" i="112"/>
  <c r="L93" i="112"/>
  <c r="H93" i="112"/>
  <c r="W9" i="7"/>
  <c r="J13" i="7"/>
  <c r="I12" i="83"/>
  <c r="X8" i="7"/>
  <c r="J11" i="7"/>
  <c r="X7" i="7"/>
  <c r="Z7" i="7"/>
  <c r="I11" i="7"/>
  <c r="B11" i="7"/>
  <c r="W7" i="7"/>
  <c r="Y8" i="7"/>
  <c r="V7" i="7"/>
  <c r="C11" i="7"/>
  <c r="J12" i="7"/>
  <c r="Z9" i="7"/>
  <c r="U9" i="7"/>
  <c r="X9" i="7"/>
  <c r="C13" i="7"/>
  <c r="K13" i="7"/>
  <c r="Y9" i="7"/>
  <c r="D13" i="7"/>
  <c r="I10" i="7"/>
  <c r="I11" i="83"/>
  <c r="D10" i="7"/>
  <c r="C11" i="83"/>
  <c r="H83" i="112"/>
  <c r="R8" i="83"/>
  <c r="R4" i="83"/>
  <c r="AD8" i="7"/>
  <c r="AD4" i="7"/>
  <c r="R7" i="83"/>
  <c r="R3" i="83"/>
  <c r="AD7" i="7"/>
  <c r="AD3" i="7"/>
  <c r="R6" i="83"/>
  <c r="AD6" i="7"/>
  <c r="R5" i="83"/>
  <c r="AD5" i="7"/>
  <c r="H73" i="112"/>
  <c r="R12" i="83"/>
  <c r="AD12" i="7"/>
  <c r="AD9" i="7"/>
  <c r="R11" i="83"/>
  <c r="AD11" i="7"/>
  <c r="R13" i="83"/>
  <c r="R9" i="83"/>
  <c r="AD13" i="7"/>
  <c r="R14" i="83"/>
  <c r="R10" i="83"/>
  <c r="AD14" i="7"/>
  <c r="AD10" i="7"/>
  <c r="H34" i="81"/>
  <c r="H33" i="81"/>
  <c r="H32" i="81"/>
  <c r="K11" i="83"/>
  <c r="Z158" i="111"/>
  <c r="AH114" i="111"/>
  <c r="Z163" i="111"/>
  <c r="AH190" i="111"/>
  <c r="AM190" i="111" s="1"/>
  <c r="AN190" i="111" s="1"/>
  <c r="Z213" i="111"/>
  <c r="Z13" i="111"/>
  <c r="Z167" i="111"/>
  <c r="Z166" i="111"/>
  <c r="Z100" i="111"/>
  <c r="Z235" i="111"/>
  <c r="Z62" i="111"/>
  <c r="AH346" i="111"/>
  <c r="AY346" i="111" s="1"/>
  <c r="AZ346" i="111" s="1"/>
  <c r="Z164" i="111"/>
  <c r="Z347" i="111"/>
  <c r="AH347" i="111"/>
  <c r="AY347" i="111" s="1"/>
  <c r="AZ347" i="111" s="1"/>
  <c r="Z162" i="111"/>
  <c r="AH157" i="111"/>
  <c r="Z368" i="111"/>
  <c r="AH316" i="111"/>
  <c r="Z170" i="111"/>
  <c r="AH174" i="111"/>
  <c r="AH349" i="111"/>
  <c r="AY349" i="111" s="1"/>
  <c r="AZ349" i="111" s="1"/>
  <c r="AH315" i="111"/>
  <c r="Z175" i="111"/>
  <c r="Z159" i="111"/>
  <c r="AH175" i="111"/>
  <c r="AH159" i="111"/>
  <c r="Z192" i="111"/>
  <c r="AA192" i="111" s="1"/>
  <c r="Z194" i="111"/>
  <c r="AA194" i="111" s="1"/>
  <c r="Z160" i="111"/>
  <c r="AH161" i="111"/>
  <c r="Z211" i="111"/>
  <c r="A18" i="16"/>
  <c r="Z169" i="111"/>
  <c r="AH201" i="111"/>
  <c r="AM201" i="111" s="1"/>
  <c r="AN201" i="111" s="1"/>
  <c r="Z318" i="111"/>
  <c r="Z5" i="111"/>
  <c r="Z304" i="111"/>
  <c r="AH203" i="111"/>
  <c r="AM203" i="111" s="1"/>
  <c r="AN203" i="111" s="1"/>
  <c r="Z17" i="111"/>
  <c r="Z102" i="111"/>
  <c r="Z231" i="111"/>
  <c r="AH116" i="111"/>
  <c r="AH200" i="111"/>
  <c r="AM200" i="111" s="1"/>
  <c r="AN200" i="111" s="1"/>
  <c r="Z21" i="111"/>
  <c r="Z233" i="111"/>
  <c r="AA117" i="111"/>
  <c r="Z237" i="111"/>
  <c r="Z234" i="111"/>
  <c r="Z11" i="111"/>
  <c r="Z104" i="111"/>
  <c r="Z19" i="111"/>
  <c r="AE371" i="111"/>
  <c r="Z348" i="111"/>
  <c r="Z242" i="111"/>
  <c r="Z306" i="111"/>
  <c r="Z15" i="111"/>
  <c r="Z7" i="111"/>
  <c r="Z229" i="111"/>
  <c r="Z98" i="111"/>
  <c r="AE369" i="111"/>
  <c r="Z303" i="111"/>
  <c r="Z9" i="111"/>
  <c r="AE370" i="111"/>
  <c r="Z96" i="111"/>
  <c r="Z238" i="111"/>
  <c r="Z115" i="111"/>
  <c r="Z369" i="111"/>
  <c r="AE368" i="111"/>
  <c r="AH194" i="111"/>
  <c r="AM194" i="111" s="1"/>
  <c r="AN194" i="111" s="1"/>
  <c r="Z61" i="111"/>
  <c r="Z59" i="111"/>
  <c r="Z193" i="111"/>
  <c r="AA193" i="111" s="1"/>
  <c r="Z310" i="111"/>
  <c r="Z230" i="111"/>
  <c r="AH113" i="111"/>
  <c r="Z114" i="111"/>
  <c r="AA114" i="111"/>
  <c r="Z226" i="111"/>
  <c r="Z243" i="111"/>
  <c r="AA118" i="111"/>
  <c r="AH117" i="111"/>
  <c r="Z118" i="111"/>
  <c r="Z309" i="111"/>
  <c r="Z31" i="111"/>
  <c r="Z35" i="111"/>
  <c r="Z63" i="111"/>
  <c r="Z307" i="111"/>
  <c r="Z241" i="111"/>
  <c r="Z57" i="111"/>
  <c r="Z34" i="111"/>
  <c r="Z33" i="111"/>
  <c r="L279" i="112"/>
  <c r="H279" i="112"/>
  <c r="L281" i="112"/>
  <c r="H281" i="112"/>
  <c r="L277" i="112"/>
  <c r="L132" i="112"/>
  <c r="L130" i="112"/>
  <c r="L128" i="112"/>
  <c r="AA16" i="17" s="1"/>
  <c r="H127" i="112"/>
  <c r="L127" i="112"/>
  <c r="H132" i="112"/>
  <c r="L129" i="112"/>
  <c r="L131" i="112"/>
  <c r="H130" i="112"/>
  <c r="H128" i="112"/>
  <c r="H129" i="112"/>
  <c r="H131" i="112"/>
  <c r="G20" i="112"/>
  <c r="H17" i="112"/>
  <c r="W35" i="112"/>
  <c r="V35" i="112" s="1"/>
  <c r="E20" i="112" s="1"/>
  <c r="Q18" i="112"/>
  <c r="T18" i="112" s="1"/>
  <c r="H186" i="112"/>
  <c r="H185" i="112"/>
  <c r="L186" i="112"/>
  <c r="L185" i="112"/>
  <c r="L184" i="112"/>
  <c r="H184" i="112"/>
  <c r="H157" i="112"/>
  <c r="L156" i="112"/>
  <c r="H155" i="112"/>
  <c r="L153" i="112"/>
  <c r="L150" i="112"/>
  <c r="H149" i="112"/>
  <c r="L157" i="112"/>
  <c r="L155" i="112"/>
  <c r="H154" i="112"/>
  <c r="H152" i="112"/>
  <c r="L149" i="112"/>
  <c r="L154" i="112"/>
  <c r="L152" i="112"/>
  <c r="H153" i="112"/>
  <c r="H150" i="112"/>
  <c r="H156" i="112"/>
  <c r="L151" i="112"/>
  <c r="H151" i="112"/>
  <c r="P109" i="112"/>
  <c r="P110" i="112"/>
  <c r="P108" i="112"/>
  <c r="H106" i="112"/>
  <c r="G40" i="112"/>
  <c r="H37" i="112"/>
  <c r="W55" i="112"/>
  <c r="V55" i="112" s="1"/>
  <c r="E40" i="112" s="1"/>
  <c r="L37" i="112"/>
  <c r="Q38" i="112"/>
  <c r="T38" i="112" s="1"/>
  <c r="H212" i="112"/>
  <c r="L212" i="112"/>
  <c r="H211" i="112"/>
  <c r="G199" i="112"/>
  <c r="L211" i="112"/>
  <c r="Z58" i="111"/>
  <c r="Z352" i="111"/>
  <c r="Z30" i="111"/>
  <c r="Z351" i="111"/>
  <c r="Z29" i="111"/>
  <c r="AE360" i="111"/>
  <c r="AE359" i="111"/>
  <c r="AE358" i="111"/>
  <c r="AE357" i="111"/>
  <c r="Z346" i="111"/>
  <c r="K10" i="83" l="1"/>
  <c r="W8" i="7"/>
  <c r="V8" i="7"/>
  <c r="C12" i="7"/>
  <c r="B10" i="83"/>
  <c r="B12" i="7"/>
  <c r="J10" i="83"/>
  <c r="D12" i="7"/>
  <c r="K12" i="7"/>
  <c r="I10" i="83"/>
  <c r="U8" i="7"/>
  <c r="Z8" i="7"/>
  <c r="D13" i="83"/>
  <c r="I13" i="83"/>
  <c r="B12" i="83"/>
  <c r="K12" i="83"/>
  <c r="C13" i="83"/>
  <c r="J13" i="83"/>
  <c r="B13" i="83"/>
  <c r="D12" i="83"/>
  <c r="J12" i="83"/>
  <c r="H41" i="81"/>
  <c r="H42" i="81"/>
  <c r="H40" i="81"/>
  <c r="H31" i="81"/>
  <c r="H35" i="81"/>
  <c r="H36" i="81"/>
  <c r="H37" i="81"/>
  <c r="H38" i="81"/>
  <c r="AB23" i="6"/>
  <c r="AD8" i="34"/>
  <c r="D5" i="83"/>
  <c r="B5" i="83"/>
  <c r="I5" i="83"/>
  <c r="J5" i="83"/>
  <c r="K5" i="83"/>
  <c r="C5" i="83"/>
  <c r="X6" i="7"/>
  <c r="C7" i="7"/>
  <c r="I7" i="7"/>
  <c r="U6" i="7"/>
  <c r="J7" i="7"/>
  <c r="D7" i="7"/>
  <c r="W6" i="7"/>
  <c r="B7" i="7"/>
  <c r="Z6" i="7"/>
  <c r="K7" i="7"/>
  <c r="Y6" i="7"/>
  <c r="V6" i="7"/>
  <c r="AB18" i="6"/>
  <c r="AD3" i="34"/>
  <c r="D6" i="34" s="1"/>
  <c r="AD11" i="34"/>
  <c r="AD12" i="34"/>
  <c r="AA15" i="17"/>
  <c r="AE4" i="35"/>
  <c r="AE9" i="35"/>
  <c r="AA20" i="17"/>
  <c r="D9" i="83"/>
  <c r="B9" i="83"/>
  <c r="J9" i="83"/>
  <c r="K9" i="83"/>
  <c r="C9" i="83"/>
  <c r="I9" i="83"/>
  <c r="Z5" i="7"/>
  <c r="I6" i="7"/>
  <c r="W5" i="7"/>
  <c r="C6" i="7"/>
  <c r="K6" i="7"/>
  <c r="J6" i="7"/>
  <c r="X5" i="7"/>
  <c r="Y5" i="7"/>
  <c r="B6" i="7"/>
  <c r="V5" i="7"/>
  <c r="U5" i="7"/>
  <c r="D6" i="7"/>
  <c r="J7" i="83"/>
  <c r="D7" i="83"/>
  <c r="B7" i="83"/>
  <c r="K7" i="83"/>
  <c r="I7" i="83"/>
  <c r="C7" i="83"/>
  <c r="C22" i="7"/>
  <c r="B21" i="7"/>
  <c r="F22" i="7"/>
  <c r="G32" i="7"/>
  <c r="B23" i="7"/>
  <c r="B22" i="7"/>
  <c r="D21" i="7"/>
  <c r="E31" i="7"/>
  <c r="E32" i="7"/>
  <c r="G23" i="7"/>
  <c r="D23" i="7"/>
  <c r="F21" i="7"/>
  <c r="G31" i="7"/>
  <c r="C33" i="7"/>
  <c r="F33" i="7"/>
  <c r="E33" i="7"/>
  <c r="E22" i="7"/>
  <c r="E21" i="7"/>
  <c r="C32" i="7"/>
  <c r="B32" i="7"/>
  <c r="B31" i="7"/>
  <c r="G22" i="7"/>
  <c r="F32" i="7"/>
  <c r="G21" i="7"/>
  <c r="C21" i="7"/>
  <c r="D33" i="7"/>
  <c r="E23" i="7"/>
  <c r="F31" i="7"/>
  <c r="D32" i="7"/>
  <c r="C23" i="7"/>
  <c r="B33" i="7"/>
  <c r="C31" i="7"/>
  <c r="F23" i="7"/>
  <c r="D31" i="7"/>
  <c r="D22" i="7"/>
  <c r="G33" i="7"/>
  <c r="C23" i="83"/>
  <c r="F23" i="83"/>
  <c r="E23" i="83"/>
  <c r="B23" i="83"/>
  <c r="G23" i="83"/>
  <c r="D23" i="83"/>
  <c r="E24" i="83"/>
  <c r="B24" i="83"/>
  <c r="C24" i="83"/>
  <c r="F24" i="83"/>
  <c r="G24" i="83"/>
  <c r="D24" i="83"/>
  <c r="AB24" i="6"/>
  <c r="AD9" i="34"/>
  <c r="AA18" i="17"/>
  <c r="AE7" i="35"/>
  <c r="C8" i="83"/>
  <c r="D8" i="83"/>
  <c r="J8" i="83"/>
  <c r="I8" i="83"/>
  <c r="B8" i="83"/>
  <c r="K8" i="83"/>
  <c r="C25" i="83"/>
  <c r="E25" i="83"/>
  <c r="F25" i="83"/>
  <c r="B25" i="83"/>
  <c r="D25" i="83"/>
  <c r="G25" i="83"/>
  <c r="AD10" i="34"/>
  <c r="AB25" i="6"/>
  <c r="AD13" i="34"/>
  <c r="H20" i="112"/>
  <c r="L20" i="112" s="1"/>
  <c r="AA19" i="17"/>
  <c r="AE8" i="35"/>
  <c r="D5" i="7"/>
  <c r="K5" i="7"/>
  <c r="J5" i="7"/>
  <c r="B5" i="7"/>
  <c r="I5" i="7"/>
  <c r="C5" i="7"/>
  <c r="B8" i="7"/>
  <c r="K8" i="7"/>
  <c r="D8" i="7"/>
  <c r="C8" i="7"/>
  <c r="I8" i="7"/>
  <c r="J8" i="7"/>
  <c r="D6" i="83"/>
  <c r="I6" i="83"/>
  <c r="J6" i="83"/>
  <c r="C6" i="83"/>
  <c r="B6" i="83"/>
  <c r="K6" i="83"/>
  <c r="E26" i="83"/>
  <c r="G27" i="83"/>
  <c r="D27" i="83"/>
  <c r="F26" i="83"/>
  <c r="G26" i="83"/>
  <c r="E27" i="83"/>
  <c r="C26" i="83"/>
  <c r="B27" i="83"/>
  <c r="C27" i="83"/>
  <c r="F27" i="83"/>
  <c r="B26" i="83"/>
  <c r="C28" i="83"/>
  <c r="F28" i="83"/>
  <c r="G28" i="83"/>
  <c r="D28" i="83"/>
  <c r="D26" i="83"/>
  <c r="E28" i="83"/>
  <c r="B28" i="83"/>
  <c r="AB22" i="6"/>
  <c r="AD7" i="34"/>
  <c r="AB20" i="6"/>
  <c r="AD5" i="34"/>
  <c r="AB21" i="6"/>
  <c r="AD6" i="34"/>
  <c r="AB19" i="6"/>
  <c r="AD4" i="34"/>
  <c r="AD14" i="34"/>
  <c r="AE6" i="35"/>
  <c r="AA17" i="17"/>
  <c r="AE5" i="35"/>
  <c r="J9" i="7"/>
  <c r="B9" i="7"/>
  <c r="D9" i="7"/>
  <c r="I9" i="7"/>
  <c r="C9" i="7"/>
  <c r="K9" i="7"/>
  <c r="K4" i="83"/>
  <c r="J4" i="83"/>
  <c r="B4" i="83"/>
  <c r="C4" i="83"/>
  <c r="I4" i="83"/>
  <c r="D4" i="83"/>
  <c r="C4" i="7"/>
  <c r="U4" i="7"/>
  <c r="X4" i="7"/>
  <c r="V4" i="7"/>
  <c r="Y4" i="7"/>
  <c r="Z4" i="7"/>
  <c r="D4" i="7"/>
  <c r="K4" i="7"/>
  <c r="I4" i="7"/>
  <c r="W4" i="7"/>
  <c r="J4" i="7"/>
  <c r="B4" i="7"/>
  <c r="E30" i="7"/>
  <c r="G30" i="7"/>
  <c r="D20" i="7"/>
  <c r="C30" i="7"/>
  <c r="D30" i="7"/>
  <c r="F20" i="7"/>
  <c r="C20" i="7"/>
  <c r="G20" i="7"/>
  <c r="E20" i="7"/>
  <c r="F30" i="7"/>
  <c r="B30" i="7"/>
  <c r="B20" i="7"/>
  <c r="C18" i="7"/>
  <c r="E28" i="7"/>
  <c r="W25" i="7"/>
  <c r="D18" i="7"/>
  <c r="AA25" i="7"/>
  <c r="B18" i="7"/>
  <c r="F28" i="7"/>
  <c r="B28" i="7"/>
  <c r="U25" i="7"/>
  <c r="E18" i="7"/>
  <c r="AD25" i="7"/>
  <c r="AC25" i="7"/>
  <c r="F18" i="7"/>
  <c r="C28" i="7"/>
  <c r="G28" i="7"/>
  <c r="AF25" i="7"/>
  <c r="X25" i="7"/>
  <c r="D28" i="7"/>
  <c r="AB25" i="7"/>
  <c r="V25" i="7"/>
  <c r="Z25" i="7"/>
  <c r="Y25" i="7"/>
  <c r="G18" i="7"/>
  <c r="AE25" i="7"/>
  <c r="D19" i="7"/>
  <c r="G19" i="7"/>
  <c r="E29" i="7"/>
  <c r="G29" i="7"/>
  <c r="C19" i="7"/>
  <c r="B29" i="7"/>
  <c r="F29" i="7"/>
  <c r="E19" i="7"/>
  <c r="C29" i="7"/>
  <c r="D29" i="7"/>
  <c r="B19" i="7"/>
  <c r="F19" i="7"/>
  <c r="AE192" i="111"/>
  <c r="AE348" i="111"/>
  <c r="AE347" i="111"/>
  <c r="AE346" i="111"/>
  <c r="AE201" i="111"/>
  <c r="AE349" i="111"/>
  <c r="AE190" i="111"/>
  <c r="AE204" i="111"/>
  <c r="AE202" i="111"/>
  <c r="AE203" i="111"/>
  <c r="AE191" i="111"/>
  <c r="AE193" i="111"/>
  <c r="Q110" i="112"/>
  <c r="T110" i="112"/>
  <c r="H198" i="112"/>
  <c r="L198" i="112"/>
  <c r="H40" i="112"/>
  <c r="L40" i="112" s="1"/>
  <c r="T109" i="112"/>
  <c r="Q109" i="112"/>
  <c r="Q108" i="112"/>
  <c r="T108" i="112"/>
  <c r="K13" i="16" l="1"/>
  <c r="V5" i="2" l="1"/>
  <c r="A14" i="81" l="1"/>
  <c r="A31" i="81"/>
  <c r="N21" i="3"/>
  <c r="O21" i="3"/>
  <c r="N22" i="3"/>
  <c r="O22" i="3"/>
  <c r="N23" i="3"/>
  <c r="O23" i="3"/>
  <c r="N24" i="3"/>
  <c r="O24" i="3"/>
  <c r="N25" i="3"/>
  <c r="O25" i="3"/>
  <c r="N26" i="3"/>
  <c r="O26" i="3"/>
  <c r="N27" i="3"/>
  <c r="O27" i="3"/>
  <c r="N28" i="3"/>
  <c r="O28" i="3"/>
  <c r="N29" i="3"/>
  <c r="O29" i="3"/>
  <c r="N30" i="3"/>
  <c r="O30" i="3"/>
  <c r="O20" i="3"/>
  <c r="N20" i="3"/>
  <c r="Q57" i="34"/>
  <c r="Q56" i="34"/>
  <c r="R56" i="34" s="1"/>
  <c r="Q55" i="34"/>
  <c r="Q54" i="34"/>
  <c r="R54" i="34" s="1"/>
  <c r="Q53" i="34"/>
  <c r="Q48" i="34"/>
  <c r="Q47" i="34"/>
  <c r="R47" i="34" s="1"/>
  <c r="Q46" i="34"/>
  <c r="R46" i="34" s="1"/>
  <c r="T46" i="34" s="1"/>
  <c r="Q45" i="34"/>
  <c r="R45" i="34" s="1"/>
  <c r="Q44" i="34"/>
  <c r="R44" i="34" s="1"/>
  <c r="Q38" i="34"/>
  <c r="R38" i="34" s="1"/>
  <c r="Q37" i="34"/>
  <c r="R37" i="34" s="1"/>
  <c r="Q36" i="34"/>
  <c r="Q35" i="34"/>
  <c r="R35" i="34" s="1"/>
  <c r="Q34" i="34"/>
  <c r="R34" i="34" s="1"/>
  <c r="Q29" i="34"/>
  <c r="R29" i="34" s="1"/>
  <c r="Q28" i="34"/>
  <c r="Q27" i="34"/>
  <c r="R27" i="34" s="1"/>
  <c r="Q26" i="34"/>
  <c r="R26" i="34" s="1"/>
  <c r="Q25" i="34"/>
  <c r="R25" i="34" s="1"/>
  <c r="Q19" i="34"/>
  <c r="Q18" i="34"/>
  <c r="R18" i="34" s="1"/>
  <c r="T18" i="34" s="1"/>
  <c r="Q17" i="34"/>
  <c r="R17" i="34" s="1"/>
  <c r="Q16" i="34"/>
  <c r="R16" i="34" s="1"/>
  <c r="Q15" i="34"/>
  <c r="R15" i="34" s="1"/>
  <c r="Q10" i="34"/>
  <c r="Q9" i="34"/>
  <c r="R9" i="34" s="1"/>
  <c r="Q8" i="34"/>
  <c r="R8" i="34" s="1"/>
  <c r="Q7" i="34"/>
  <c r="R7" i="34" s="1"/>
  <c r="Q6" i="34"/>
  <c r="Q40" i="35"/>
  <c r="R40" i="35" s="1"/>
  <c r="Q39" i="35"/>
  <c r="R39" i="35" s="1"/>
  <c r="Q38" i="35"/>
  <c r="Q37" i="35"/>
  <c r="R37" i="35" s="1"/>
  <c r="Q36" i="35"/>
  <c r="R36" i="35" s="1"/>
  <c r="Q31" i="35"/>
  <c r="R31" i="35" s="1"/>
  <c r="Q30" i="35"/>
  <c r="Q29" i="35"/>
  <c r="R29" i="35" s="1"/>
  <c r="Q28" i="35"/>
  <c r="R28" i="35" s="1"/>
  <c r="Q27" i="35"/>
  <c r="R27" i="35" s="1"/>
  <c r="Q20" i="35"/>
  <c r="Q19" i="35"/>
  <c r="Q18" i="35"/>
  <c r="R18" i="35" s="1"/>
  <c r="Q17" i="35"/>
  <c r="R17" i="35" s="1"/>
  <c r="Q16" i="35"/>
  <c r="Q8" i="35"/>
  <c r="Q9" i="35"/>
  <c r="R9" i="35" s="1"/>
  <c r="Q10" i="35"/>
  <c r="R10" i="35" s="1"/>
  <c r="Q11" i="35"/>
  <c r="R11" i="35" s="1"/>
  <c r="Q7" i="35"/>
  <c r="R7" i="35" s="1"/>
  <c r="S40" i="35"/>
  <c r="S39" i="35"/>
  <c r="S38" i="35"/>
  <c r="R38" i="35"/>
  <c r="S37" i="35"/>
  <c r="S36" i="35"/>
  <c r="S31" i="35"/>
  <c r="S30" i="35"/>
  <c r="R30" i="35"/>
  <c r="S29" i="35"/>
  <c r="S28" i="35"/>
  <c r="S27" i="35"/>
  <c r="S20" i="35"/>
  <c r="R20" i="35"/>
  <c r="S19" i="35"/>
  <c r="R19" i="35"/>
  <c r="S18" i="35"/>
  <c r="S17" i="35"/>
  <c r="S16" i="35"/>
  <c r="R16" i="35"/>
  <c r="S11" i="35"/>
  <c r="S10" i="35"/>
  <c r="S9" i="35"/>
  <c r="S8" i="35"/>
  <c r="R8" i="35"/>
  <c r="S7" i="35"/>
  <c r="S57" i="34"/>
  <c r="R57" i="34"/>
  <c r="T57" i="34" s="1"/>
  <c r="S56" i="34"/>
  <c r="S55" i="34"/>
  <c r="R55" i="34"/>
  <c r="T55" i="34" s="1"/>
  <c r="S54" i="34"/>
  <c r="S53" i="34"/>
  <c r="R53" i="34"/>
  <c r="T53" i="34" s="1"/>
  <c r="S48" i="34"/>
  <c r="R48" i="34"/>
  <c r="S47" i="34"/>
  <c r="S46" i="34"/>
  <c r="S45" i="34"/>
  <c r="S44" i="34"/>
  <c r="S38" i="34"/>
  <c r="S37" i="34"/>
  <c r="S36" i="34"/>
  <c r="R36" i="34"/>
  <c r="S35" i="34"/>
  <c r="S34" i="34"/>
  <c r="S29" i="34"/>
  <c r="S28" i="34"/>
  <c r="R28" i="34"/>
  <c r="T28" i="34" s="1"/>
  <c r="S27" i="34"/>
  <c r="S26" i="34"/>
  <c r="S25" i="34"/>
  <c r="S19" i="34"/>
  <c r="R19" i="34"/>
  <c r="T19" i="34" s="1"/>
  <c r="S18" i="34"/>
  <c r="S17" i="34"/>
  <c r="S16" i="34"/>
  <c r="S15" i="34"/>
  <c r="S10" i="34"/>
  <c r="R10" i="34"/>
  <c r="T10" i="34" s="1"/>
  <c r="S9" i="34"/>
  <c r="S8" i="34"/>
  <c r="S7" i="34"/>
  <c r="S6" i="34"/>
  <c r="R6" i="34"/>
  <c r="F22" i="103"/>
  <c r="E22" i="103"/>
  <c r="F21" i="103"/>
  <c r="E21" i="103"/>
  <c r="F20" i="103"/>
  <c r="E20" i="103"/>
  <c r="F19" i="103"/>
  <c r="E19" i="103"/>
  <c r="E18" i="103"/>
  <c r="F15" i="103"/>
  <c r="E15" i="103"/>
  <c r="F14" i="103"/>
  <c r="E14" i="103"/>
  <c r="F13" i="103"/>
  <c r="E13" i="103"/>
  <c r="F12" i="103"/>
  <c r="E12" i="103"/>
  <c r="E11" i="103"/>
  <c r="M17" i="109"/>
  <c r="L18" i="109"/>
  <c r="L19" i="109"/>
  <c r="L20" i="109"/>
  <c r="L21" i="109"/>
  <c r="L22" i="109"/>
  <c r="L23" i="109"/>
  <c r="L24" i="109"/>
  <c r="L25" i="109"/>
  <c r="L26" i="109"/>
  <c r="L27" i="109"/>
  <c r="L28" i="109"/>
  <c r="L17" i="109"/>
  <c r="K6" i="98"/>
  <c r="J6" i="98"/>
  <c r="H6" i="98"/>
  <c r="G6" i="98"/>
  <c r="D6" i="98"/>
  <c r="C6" i="98"/>
  <c r="B6" i="98"/>
  <c r="K5" i="98"/>
  <c r="J5" i="98"/>
  <c r="H5" i="98"/>
  <c r="G5" i="98"/>
  <c r="D5" i="98"/>
  <c r="C5" i="98"/>
  <c r="D24" i="98"/>
  <c r="D23" i="98"/>
  <c r="D22" i="98"/>
  <c r="D21" i="98"/>
  <c r="D20" i="98"/>
  <c r="D19" i="98"/>
  <c r="D18" i="98"/>
  <c r="B5" i="98"/>
  <c r="F46" i="98"/>
  <c r="G50" i="98"/>
  <c r="F50" i="98"/>
  <c r="G49" i="98"/>
  <c r="F49" i="98"/>
  <c r="G48" i="98"/>
  <c r="F48" i="98"/>
  <c r="G47" i="98"/>
  <c r="F47" i="98"/>
  <c r="G46" i="98"/>
  <c r="G45" i="98"/>
  <c r="F45" i="98"/>
  <c r="G44" i="98"/>
  <c r="F44" i="98"/>
  <c r="F24" i="98"/>
  <c r="E24" i="98"/>
  <c r="F23" i="98"/>
  <c r="E23" i="98"/>
  <c r="F22" i="98"/>
  <c r="E22" i="98"/>
  <c r="F21" i="98"/>
  <c r="E21" i="98"/>
  <c r="F20" i="98"/>
  <c r="E20" i="98"/>
  <c r="F19" i="98"/>
  <c r="E19" i="98"/>
  <c r="F18" i="98"/>
  <c r="E18" i="98"/>
  <c r="T17" i="35" l="1"/>
  <c r="T9" i="35"/>
  <c r="T18" i="35"/>
  <c r="T28" i="35"/>
  <c r="T29" i="35"/>
  <c r="T19" i="35"/>
  <c r="T30" i="35"/>
  <c r="P27" i="3"/>
  <c r="R27" i="3" s="1"/>
  <c r="P24" i="3"/>
  <c r="J19" i="98"/>
  <c r="M19" i="98"/>
  <c r="G19" i="98"/>
  <c r="K18" i="98"/>
  <c r="N18" i="98"/>
  <c r="H18" i="98"/>
  <c r="N20" i="98"/>
  <c r="Z20" i="98" s="1"/>
  <c r="H20" i="98"/>
  <c r="T20" i="98" s="1"/>
  <c r="K22" i="98"/>
  <c r="N22" i="98"/>
  <c r="Z22" i="98" s="1"/>
  <c r="H22" i="98"/>
  <c r="T22" i="98" s="1"/>
  <c r="K24" i="98"/>
  <c r="W24" i="98" s="1"/>
  <c r="N24" i="98"/>
  <c r="Z24" i="98" s="1"/>
  <c r="H24" i="98"/>
  <c r="T24" i="98" s="1"/>
  <c r="J20" i="98"/>
  <c r="G20" i="98"/>
  <c r="S20" i="98" s="1"/>
  <c r="M20" i="98"/>
  <c r="Y20" i="98" s="1"/>
  <c r="G24" i="98"/>
  <c r="S24" i="98" s="1"/>
  <c r="M24" i="98"/>
  <c r="Y24" i="98" s="1"/>
  <c r="L19" i="98"/>
  <c r="O19" i="98"/>
  <c r="I19" i="98"/>
  <c r="O21" i="98"/>
  <c r="AA21" i="98" s="1"/>
  <c r="I21" i="98"/>
  <c r="U21" i="98" s="1"/>
  <c r="L23" i="98"/>
  <c r="O23" i="98"/>
  <c r="AA23" i="98" s="1"/>
  <c r="I23" i="98"/>
  <c r="U23" i="98" s="1"/>
  <c r="J23" i="98"/>
  <c r="M23" i="98"/>
  <c r="Y23" i="98" s="1"/>
  <c r="G23" i="98"/>
  <c r="S23" i="98" s="1"/>
  <c r="L18" i="98"/>
  <c r="I18" i="98"/>
  <c r="O18" i="98"/>
  <c r="L20" i="98"/>
  <c r="X20" i="98" s="1"/>
  <c r="O20" i="98"/>
  <c r="AA20" i="98" s="1"/>
  <c r="I20" i="98"/>
  <c r="U20" i="98" s="1"/>
  <c r="I22" i="98"/>
  <c r="U22" i="98" s="1"/>
  <c r="O22" i="98"/>
  <c r="AA22" i="98" s="1"/>
  <c r="L24" i="98"/>
  <c r="O24" i="98"/>
  <c r="AA24" i="98" s="1"/>
  <c r="I24" i="98"/>
  <c r="U24" i="98" s="1"/>
  <c r="J21" i="98"/>
  <c r="M21" i="98"/>
  <c r="Y21" i="98" s="1"/>
  <c r="G21" i="98"/>
  <c r="S21" i="98" s="1"/>
  <c r="K19" i="98"/>
  <c r="N19" i="98"/>
  <c r="H19" i="98"/>
  <c r="K21" i="98"/>
  <c r="H21" i="98"/>
  <c r="T21" i="98" s="1"/>
  <c r="N21" i="98"/>
  <c r="Z21" i="98" s="1"/>
  <c r="N23" i="98"/>
  <c r="Z23" i="98" s="1"/>
  <c r="H23" i="98"/>
  <c r="T23" i="98" s="1"/>
  <c r="G18" i="98"/>
  <c r="J18" i="98"/>
  <c r="M18" i="98"/>
  <c r="M22" i="98"/>
  <c r="Y22" i="98" s="1"/>
  <c r="G22" i="98"/>
  <c r="S22" i="98" s="1"/>
  <c r="R21" i="98"/>
  <c r="L21" i="98"/>
  <c r="Q20" i="98"/>
  <c r="K20" i="98"/>
  <c r="W20" i="98" s="1"/>
  <c r="Q23" i="98"/>
  <c r="K23" i="98"/>
  <c r="P22" i="98"/>
  <c r="AB22" i="98" s="1"/>
  <c r="J22" i="98"/>
  <c r="V22" i="98" s="1"/>
  <c r="R22" i="98"/>
  <c r="L22" i="98"/>
  <c r="P24" i="98"/>
  <c r="AB24" i="98" s="1"/>
  <c r="J24" i="98"/>
  <c r="V24" i="98" s="1"/>
  <c r="T8" i="34"/>
  <c r="T54" i="34"/>
  <c r="T36" i="34"/>
  <c r="T9" i="34"/>
  <c r="T17" i="34"/>
  <c r="T26" i="34"/>
  <c r="T38" i="34"/>
  <c r="T27" i="34"/>
  <c r="T35" i="34"/>
  <c r="T44" i="34"/>
  <c r="T6" i="34"/>
  <c r="T48" i="34"/>
  <c r="T56" i="34"/>
  <c r="T7" i="34"/>
  <c r="W21" i="98"/>
  <c r="Q21" i="98"/>
  <c r="X24" i="98"/>
  <c r="R24" i="98"/>
  <c r="V23" i="98"/>
  <c r="P23" i="98"/>
  <c r="R20" i="98"/>
  <c r="Q24" i="98"/>
  <c r="X23" i="98"/>
  <c r="R23" i="98"/>
  <c r="V20" i="98"/>
  <c r="H32" i="98" s="1"/>
  <c r="P20" i="98"/>
  <c r="W22" i="98"/>
  <c r="Q22" i="98"/>
  <c r="V21" i="98"/>
  <c r="P21" i="98"/>
  <c r="P30" i="3"/>
  <c r="P28" i="3"/>
  <c r="P23" i="3"/>
  <c r="P22" i="3"/>
  <c r="P29" i="3"/>
  <c r="P26" i="3"/>
  <c r="P21" i="3"/>
  <c r="P25" i="3"/>
  <c r="T40" i="35"/>
  <c r="T10" i="35"/>
  <c r="T20" i="35"/>
  <c r="T38" i="35"/>
  <c r="T31" i="35"/>
  <c r="T36" i="35"/>
  <c r="T11" i="35"/>
  <c r="T8" i="35"/>
  <c r="T16" i="35"/>
  <c r="T27" i="35"/>
  <c r="T34" i="34"/>
  <c r="T45" i="34"/>
  <c r="T15" i="34"/>
  <c r="T29" i="34"/>
  <c r="T37" i="34"/>
  <c r="T16" i="34"/>
  <c r="J32" i="81"/>
  <c r="J36" i="81"/>
  <c r="J37" i="81"/>
  <c r="J41" i="81"/>
  <c r="J38" i="81"/>
  <c r="J42" i="81"/>
  <c r="J16" i="81"/>
  <c r="J25" i="81"/>
  <c r="J17" i="81"/>
  <c r="J23" i="81"/>
  <c r="J21" i="81"/>
  <c r="J18" i="81"/>
  <c r="J22" i="81"/>
  <c r="J24" i="81"/>
  <c r="J15" i="81"/>
  <c r="J20" i="81"/>
  <c r="J19" i="81"/>
  <c r="P20" i="3"/>
  <c r="T47" i="34"/>
  <c r="T25" i="34"/>
  <c r="T39" i="35"/>
  <c r="T37" i="35"/>
  <c r="T7" i="35"/>
  <c r="Q34" i="106"/>
  <c r="Q35" i="106"/>
  <c r="Q36" i="106"/>
  <c r="Q37" i="106"/>
  <c r="Q38" i="106"/>
  <c r="Q39" i="106"/>
  <c r="Q40" i="106"/>
  <c r="Q41" i="106"/>
  <c r="Q42" i="106"/>
  <c r="Q43" i="106"/>
  <c r="Q44" i="106"/>
  <c r="Q45" i="106"/>
  <c r="Y23" i="109"/>
  <c r="H44" i="98"/>
  <c r="H45" i="98"/>
  <c r="H47" i="98"/>
  <c r="H49" i="98"/>
  <c r="X21" i="98"/>
  <c r="H46" i="98"/>
  <c r="H48" i="98"/>
  <c r="H50" i="98"/>
  <c r="X22" i="98"/>
  <c r="AD22" i="98"/>
  <c r="AC23" i="98" l="1"/>
  <c r="AJ24" i="98"/>
  <c r="V36" i="98" s="1"/>
  <c r="AD21" i="98"/>
  <c r="AI23" i="98"/>
  <c r="U35" i="98" s="1"/>
  <c r="AH21" i="98"/>
  <c r="T33" i="98" s="1"/>
  <c r="I8" i="98" s="1"/>
  <c r="AJ20" i="98"/>
  <c r="V32" i="98" s="1"/>
  <c r="AJ21" i="98"/>
  <c r="V33" i="98" s="1"/>
  <c r="AH24" i="98"/>
  <c r="T36" i="98" s="1"/>
  <c r="I11" i="98" s="1"/>
  <c r="AI20" i="98"/>
  <c r="U32" i="98" s="1"/>
  <c r="AH22" i="98"/>
  <c r="T34" i="98" s="1"/>
  <c r="I9" i="98" s="1"/>
  <c r="AI21" i="98"/>
  <c r="U33" i="98" s="1"/>
  <c r="AJ22" i="98"/>
  <c r="V34" i="98" s="1"/>
  <c r="AJ23" i="98"/>
  <c r="V35" i="98" s="1"/>
  <c r="AI22" i="98"/>
  <c r="U34" i="98" s="1"/>
  <c r="AC20" i="98"/>
  <c r="AH23" i="98"/>
  <c r="T35" i="98" s="1"/>
  <c r="I10" i="98" s="1"/>
  <c r="AH20" i="98"/>
  <c r="T32" i="98" s="1"/>
  <c r="I7" i="98" s="1"/>
  <c r="AI24" i="98"/>
  <c r="U36" i="98" s="1"/>
  <c r="AB20" i="98"/>
  <c r="N32" i="98" s="1"/>
  <c r="W23" i="98"/>
  <c r="AF23" i="98" s="1"/>
  <c r="AE21" i="98"/>
  <c r="AD23" i="98"/>
  <c r="AG21" i="98"/>
  <c r="AF24" i="98"/>
  <c r="J33" i="81"/>
  <c r="J39" i="81"/>
  <c r="J34" i="81"/>
  <c r="J35" i="81"/>
  <c r="J31" i="81"/>
  <c r="J40" i="81"/>
  <c r="AE22" i="98"/>
  <c r="AB21" i="98"/>
  <c r="AG20" i="98"/>
  <c r="AD20" i="98"/>
  <c r="AE24" i="98"/>
  <c r="AF22" i="98"/>
  <c r="AC22" i="98"/>
  <c r="AB23" i="98"/>
  <c r="AE23" i="98"/>
  <c r="AF20" i="98"/>
  <c r="AF21" i="98"/>
  <c r="AG22" i="98"/>
  <c r="AC21" i="98"/>
  <c r="AC24" i="98"/>
  <c r="AD24" i="98"/>
  <c r="AG24" i="98"/>
  <c r="AE20" i="98"/>
  <c r="AG23" i="98"/>
  <c r="R26" i="83" l="1"/>
  <c r="R28" i="83"/>
  <c r="R27" i="83"/>
  <c r="R25" i="83"/>
  <c r="R24" i="83"/>
  <c r="R23" i="83"/>
  <c r="Y33" i="109"/>
  <c r="Y34" i="109"/>
  <c r="Y32" i="109"/>
  <c r="L10" i="83" l="1"/>
  <c r="L5" i="83"/>
  <c r="E5" i="83"/>
  <c r="H24" i="83"/>
  <c r="H28" i="83"/>
  <c r="E8" i="83"/>
  <c r="H26" i="83"/>
  <c r="H27" i="83"/>
  <c r="E4" i="83"/>
  <c r="H23" i="83"/>
  <c r="L8" i="83"/>
  <c r="L7" i="83"/>
  <c r="H25" i="83"/>
  <c r="L4" i="83"/>
  <c r="L6" i="83"/>
  <c r="E6" i="83"/>
  <c r="E7" i="83"/>
  <c r="E9" i="83"/>
  <c r="E11" i="83"/>
  <c r="L13" i="83"/>
  <c r="E10" i="83"/>
  <c r="E12" i="83"/>
  <c r="L12" i="83"/>
  <c r="L9" i="83"/>
  <c r="L11" i="83"/>
  <c r="E13" i="83"/>
  <c r="P17" i="106" l="1"/>
  <c r="O17" i="106"/>
  <c r="N18" i="109"/>
  <c r="N19" i="109"/>
  <c r="N20" i="109"/>
  <c r="N21" i="109"/>
  <c r="N22" i="109"/>
  <c r="N23" i="109"/>
  <c r="N24" i="109"/>
  <c r="N25" i="109"/>
  <c r="N26" i="109"/>
  <c r="N27" i="109"/>
  <c r="N28" i="109"/>
  <c r="N17" i="109"/>
  <c r="M18" i="109"/>
  <c r="M19" i="109"/>
  <c r="M20" i="109"/>
  <c r="M21" i="109"/>
  <c r="M22" i="109"/>
  <c r="M23" i="109"/>
  <c r="M24" i="109"/>
  <c r="M25" i="109"/>
  <c r="M26" i="109"/>
  <c r="M27" i="109"/>
  <c r="M28" i="109"/>
  <c r="Y28" i="109"/>
  <c r="Y24" i="109"/>
  <c r="P28" i="106"/>
  <c r="O28" i="106"/>
  <c r="P27" i="106"/>
  <c r="O27" i="106"/>
  <c r="P26" i="106"/>
  <c r="O26" i="106"/>
  <c r="P25" i="106"/>
  <c r="O25" i="106"/>
  <c r="P24" i="106"/>
  <c r="O24" i="106"/>
  <c r="P23" i="106"/>
  <c r="O23" i="106"/>
  <c r="P22" i="106"/>
  <c r="O22" i="106"/>
  <c r="P21" i="106"/>
  <c r="O21" i="106"/>
  <c r="P20" i="106"/>
  <c r="O20" i="106"/>
  <c r="P19" i="106"/>
  <c r="O19" i="106"/>
  <c r="P18" i="106"/>
  <c r="O18" i="106"/>
  <c r="E36" i="106"/>
  <c r="E35" i="106"/>
  <c r="E19" i="106" l="1"/>
  <c r="Q17" i="106"/>
  <c r="Q19" i="106"/>
  <c r="Q21" i="106"/>
  <c r="Q23" i="106"/>
  <c r="Q27" i="106"/>
  <c r="O17" i="109"/>
  <c r="O26" i="109"/>
  <c r="O22" i="109"/>
  <c r="O18" i="109"/>
  <c r="O27" i="109"/>
  <c r="O23" i="109"/>
  <c r="O19" i="109"/>
  <c r="O28" i="109"/>
  <c r="O24" i="109"/>
  <c r="O20" i="109"/>
  <c r="O25" i="109"/>
  <c r="O21" i="109"/>
  <c r="E21" i="109"/>
  <c r="E27" i="109"/>
  <c r="E22" i="109"/>
  <c r="Y30" i="109"/>
  <c r="E18" i="109"/>
  <c r="E23" i="109"/>
  <c r="Y25" i="109"/>
  <c r="Y29" i="109"/>
  <c r="E25" i="109"/>
  <c r="Y26" i="109"/>
  <c r="E19" i="109"/>
  <c r="E26" i="109"/>
  <c r="E17" i="109"/>
  <c r="Y27" i="109"/>
  <c r="Y31" i="109"/>
  <c r="E20" i="109"/>
  <c r="E24" i="109"/>
  <c r="E28" i="109"/>
  <c r="Q25" i="106"/>
  <c r="Q18" i="106"/>
  <c r="Q20" i="106"/>
  <c r="Q22" i="106"/>
  <c r="Q24" i="106"/>
  <c r="Q26" i="106"/>
  <c r="Q28" i="106"/>
  <c r="G35" i="106"/>
  <c r="E20" i="106"/>
  <c r="E24" i="106"/>
  <c r="E23" i="106"/>
  <c r="E21" i="106"/>
  <c r="E25" i="106"/>
  <c r="E22" i="106"/>
  <c r="E26" i="106"/>
  <c r="G36" i="106"/>
  <c r="Y17" i="109"/>
  <c r="Y18" i="109"/>
  <c r="F24" i="106" l="1"/>
  <c r="F30" i="106"/>
  <c r="F29" i="106"/>
  <c r="F28" i="109"/>
  <c r="F23" i="109"/>
  <c r="F20" i="109"/>
  <c r="F19" i="109"/>
  <c r="F24" i="109"/>
  <c r="F21" i="109"/>
  <c r="F27" i="109"/>
  <c r="F17" i="109"/>
  <c r="F25" i="109"/>
  <c r="F18" i="109"/>
  <c r="F22" i="109"/>
  <c r="F26" i="109"/>
  <c r="F20" i="106"/>
  <c r="F28" i="106"/>
  <c r="F26" i="106"/>
  <c r="F18" i="106"/>
  <c r="F22" i="106"/>
  <c r="F19" i="106"/>
  <c r="F23" i="106"/>
  <c r="F27" i="106"/>
  <c r="F17" i="106"/>
  <c r="F21" i="106"/>
  <c r="F25" i="106"/>
  <c r="F16" i="103" l="1"/>
  <c r="E16" i="103"/>
  <c r="E23" i="103"/>
  <c r="F23" i="103"/>
  <c r="D6" i="15" l="1"/>
  <c r="D5" i="15"/>
  <c r="D4" i="15"/>
  <c r="G14" i="103" l="1"/>
  <c r="H12" i="103"/>
  <c r="H19" i="103"/>
  <c r="H15" i="103"/>
  <c r="H13" i="103"/>
  <c r="G18" i="103"/>
  <c r="H14" i="103"/>
  <c r="H21" i="103"/>
  <c r="G20" i="103"/>
  <c r="H22" i="103"/>
  <c r="H20" i="103"/>
  <c r="G19" i="103"/>
  <c r="G13" i="103"/>
  <c r="G11" i="103"/>
  <c r="G22" i="103"/>
  <c r="G12" i="103"/>
  <c r="G21" i="103"/>
  <c r="G15" i="103"/>
  <c r="C41" i="106" l="1"/>
  <c r="G23" i="103"/>
  <c r="G16" i="103"/>
  <c r="H23" i="103"/>
  <c r="H16" i="103"/>
  <c r="Q30" i="3"/>
  <c r="S30" i="3" s="1"/>
  <c r="C14" i="3" s="1"/>
  <c r="Q29" i="3"/>
  <c r="S29" i="3" s="1"/>
  <c r="C13" i="3" s="1"/>
  <c r="R28" i="3"/>
  <c r="T28" i="3" s="1"/>
  <c r="D12" i="3" s="1"/>
  <c r="T27" i="3"/>
  <c r="D11" i="3" s="1"/>
  <c r="R26" i="3"/>
  <c r="T26" i="3" s="1"/>
  <c r="D10" i="3" s="1"/>
  <c r="Q26" i="3"/>
  <c r="R25" i="3"/>
  <c r="T25" i="3" s="1"/>
  <c r="D9" i="3" s="1"/>
  <c r="Q25" i="3"/>
  <c r="R24" i="3"/>
  <c r="T24" i="3" s="1"/>
  <c r="D8" i="3" s="1"/>
  <c r="Q24" i="3"/>
  <c r="R23" i="3"/>
  <c r="T23" i="3" s="1"/>
  <c r="D7" i="3" s="1"/>
  <c r="Q23" i="3"/>
  <c r="R22" i="3"/>
  <c r="T22" i="3" s="1"/>
  <c r="D6" i="3" s="1"/>
  <c r="Q22" i="3"/>
  <c r="R21" i="3"/>
  <c r="T21" i="3" s="1"/>
  <c r="D5" i="3" s="1"/>
  <c r="Q21" i="3"/>
  <c r="R20" i="3"/>
  <c r="T20" i="3" s="1"/>
  <c r="D4" i="3" s="1"/>
  <c r="Q20" i="3"/>
  <c r="S20" i="3" s="1"/>
  <c r="C4" i="3" s="1"/>
  <c r="AF30" i="7"/>
  <c r="AE30" i="7"/>
  <c r="AD30" i="7"/>
  <c r="AC30" i="7"/>
  <c r="AB30" i="7"/>
  <c r="AA30" i="7"/>
  <c r="Z30" i="7"/>
  <c r="Y30" i="7"/>
  <c r="X30" i="7"/>
  <c r="W30" i="7"/>
  <c r="V30" i="7"/>
  <c r="C15" i="9"/>
  <c r="C14" i="9"/>
  <c r="C13" i="9"/>
  <c r="C24" i="67"/>
  <c r="B24" i="67"/>
  <c r="D23" i="67"/>
  <c r="C23" i="67"/>
  <c r="B23" i="67"/>
  <c r="E22" i="67"/>
  <c r="D22" i="67"/>
  <c r="C22" i="67"/>
  <c r="B22" i="67"/>
  <c r="E21" i="67"/>
  <c r="D21" i="67"/>
  <c r="C21" i="67"/>
  <c r="B21" i="67"/>
  <c r="C16" i="67"/>
  <c r="B16" i="67"/>
  <c r="D15" i="67"/>
  <c r="C15" i="67"/>
  <c r="B15" i="67"/>
  <c r="E14" i="67"/>
  <c r="D14" i="67"/>
  <c r="C14" i="67"/>
  <c r="B14" i="67"/>
  <c r="E13" i="67"/>
  <c r="D13" i="67"/>
  <c r="C13" i="67"/>
  <c r="B13" i="67"/>
  <c r="S23" i="92"/>
  <c r="W23" i="92" s="1"/>
  <c r="T21" i="92"/>
  <c r="S19" i="92"/>
  <c r="T17" i="92"/>
  <c r="S55" i="92"/>
  <c r="W55" i="92" s="1"/>
  <c r="T53" i="92"/>
  <c r="S51" i="92"/>
  <c r="T49" i="92"/>
  <c r="S44" i="92"/>
  <c r="W44" i="92" s="1"/>
  <c r="T42" i="92"/>
  <c r="S40" i="92"/>
  <c r="W40" i="92" s="1"/>
  <c r="T38" i="92"/>
  <c r="T57" i="91"/>
  <c r="T27" i="91"/>
  <c r="L63" i="91" s="1"/>
  <c r="M63" i="91" s="1"/>
  <c r="S55" i="91"/>
  <c r="W55" i="91" s="1"/>
  <c r="S25" i="91"/>
  <c r="V25" i="91" s="1"/>
  <c r="T53" i="91"/>
  <c r="T23" i="91"/>
  <c r="L61" i="91" s="1"/>
  <c r="M61" i="91" s="1"/>
  <c r="S21" i="91"/>
  <c r="T49" i="91"/>
  <c r="T19" i="91"/>
  <c r="L59" i="91" s="1"/>
  <c r="M59" i="91" s="1"/>
  <c r="E20" i="91" s="1"/>
  <c r="I6" i="91" s="1"/>
  <c r="T44" i="91"/>
  <c r="S42" i="91"/>
  <c r="W42" i="91" s="1"/>
  <c r="T40" i="91"/>
  <c r="T36" i="91"/>
  <c r="I42" i="90"/>
  <c r="H42" i="90"/>
  <c r="G42" i="90"/>
  <c r="K41" i="90"/>
  <c r="J41" i="90"/>
  <c r="K40" i="90"/>
  <c r="J40" i="90"/>
  <c r="K39" i="90"/>
  <c r="J39" i="90"/>
  <c r="K38" i="90"/>
  <c r="J38" i="90"/>
  <c r="K37" i="90"/>
  <c r="J37" i="90"/>
  <c r="K36" i="90"/>
  <c r="J36" i="90"/>
  <c r="K35" i="90"/>
  <c r="J35" i="90"/>
  <c r="K34" i="90"/>
  <c r="J34" i="90"/>
  <c r="K33" i="90"/>
  <c r="J33" i="90"/>
  <c r="K32" i="90"/>
  <c r="J32" i="90"/>
  <c r="K31" i="90"/>
  <c r="J31" i="90"/>
  <c r="K30" i="90"/>
  <c r="J30" i="90"/>
  <c r="K29" i="90"/>
  <c r="J29" i="90"/>
  <c r="K28" i="90"/>
  <c r="J28" i="90"/>
  <c r="K27" i="90"/>
  <c r="K42" i="90" s="1"/>
  <c r="J27" i="90"/>
  <c r="J42" i="90" s="1"/>
  <c r="K26" i="90"/>
  <c r="J26" i="90"/>
  <c r="I20" i="90"/>
  <c r="H20" i="90"/>
  <c r="G20" i="90"/>
  <c r="K19" i="90"/>
  <c r="J19" i="90"/>
  <c r="K18" i="90"/>
  <c r="J18" i="90"/>
  <c r="K17" i="90"/>
  <c r="J17" i="90"/>
  <c r="K16" i="90"/>
  <c r="J16" i="90"/>
  <c r="N15" i="90"/>
  <c r="B9" i="90" s="1"/>
  <c r="K15" i="90"/>
  <c r="J15" i="90"/>
  <c r="N14" i="90"/>
  <c r="K14" i="90"/>
  <c r="K13" i="90"/>
  <c r="J13" i="90"/>
  <c r="K12" i="90"/>
  <c r="J12" i="90"/>
  <c r="K11" i="90"/>
  <c r="J11" i="90"/>
  <c r="K10" i="90"/>
  <c r="J10" i="90"/>
  <c r="K9" i="90"/>
  <c r="J9" i="90"/>
  <c r="K8" i="90"/>
  <c r="J8" i="90"/>
  <c r="K7" i="90"/>
  <c r="J7" i="90"/>
  <c r="K6" i="90"/>
  <c r="J6" i="90"/>
  <c r="K5" i="90"/>
  <c r="J5" i="90"/>
  <c r="K4" i="90"/>
  <c r="K20" i="90" s="1"/>
  <c r="J4" i="90"/>
  <c r="D3" i="15"/>
  <c r="H10" i="2"/>
  <c r="E47" i="91" l="1"/>
  <c r="L47" i="91" s="1"/>
  <c r="M47" i="91" s="1"/>
  <c r="N47" i="91" s="1"/>
  <c r="M8" i="91" s="1"/>
  <c r="E24" i="91"/>
  <c r="I8" i="91" s="1"/>
  <c r="S51" i="91"/>
  <c r="W51" i="91" s="1"/>
  <c r="V21" i="91"/>
  <c r="W21" i="91" s="1"/>
  <c r="E37" i="91"/>
  <c r="E41" i="91"/>
  <c r="E28" i="91"/>
  <c r="I10" i="91" s="1"/>
  <c r="E33" i="91"/>
  <c r="T55" i="91"/>
  <c r="X55" i="91"/>
  <c r="T21" i="91"/>
  <c r="T44" i="92"/>
  <c r="T19" i="92"/>
  <c r="W19" i="92"/>
  <c r="X19" i="92" s="1"/>
  <c r="T51" i="92"/>
  <c r="W51" i="92"/>
  <c r="X51" i="92" s="1"/>
  <c r="L30" i="92" s="1"/>
  <c r="J7" i="9"/>
  <c r="H36" i="2"/>
  <c r="I7" i="9"/>
  <c r="H37" i="2"/>
  <c r="J17" i="17"/>
  <c r="I8" i="9"/>
  <c r="K46" i="17"/>
  <c r="D16" i="9"/>
  <c r="L8" i="9" s="1"/>
  <c r="S8" i="9" s="1"/>
  <c r="D14" i="9"/>
  <c r="L7" i="9" s="1"/>
  <c r="D13" i="9"/>
  <c r="E48" i="6"/>
  <c r="D15" i="9"/>
  <c r="Z35" i="109"/>
  <c r="Z17" i="109"/>
  <c r="Z36" i="109"/>
  <c r="AA36" i="109"/>
  <c r="R47" i="106"/>
  <c r="R46" i="106"/>
  <c r="AA35" i="109"/>
  <c r="S46" i="106"/>
  <c r="S47" i="106"/>
  <c r="I17" i="109"/>
  <c r="G5" i="109" s="1"/>
  <c r="K17" i="106"/>
  <c r="C14" i="81"/>
  <c r="C5" i="81" s="1"/>
  <c r="I16" i="81"/>
  <c r="I18" i="81"/>
  <c r="AF7" i="35"/>
  <c r="M40" i="35"/>
  <c r="K39" i="35"/>
  <c r="M38" i="35"/>
  <c r="E37" i="35"/>
  <c r="L36" i="35"/>
  <c r="J31" i="35"/>
  <c r="M30" i="35"/>
  <c r="E30" i="35"/>
  <c r="L29" i="35"/>
  <c r="J28" i="35"/>
  <c r="M27" i="35"/>
  <c r="E27" i="35"/>
  <c r="M20" i="35"/>
  <c r="K19" i="35"/>
  <c r="E18" i="35"/>
  <c r="L17" i="35"/>
  <c r="E16" i="35"/>
  <c r="K11" i="35"/>
  <c r="K10" i="35"/>
  <c r="J9" i="35"/>
  <c r="M8" i="35"/>
  <c r="E8" i="35"/>
  <c r="K7" i="35"/>
  <c r="AE13" i="34"/>
  <c r="AE9" i="34"/>
  <c r="AE5" i="34"/>
  <c r="K55" i="34"/>
  <c r="M54" i="34"/>
  <c r="K53" i="34"/>
  <c r="M48" i="34"/>
  <c r="M47" i="34"/>
  <c r="M46" i="34"/>
  <c r="E45" i="34"/>
  <c r="L44" i="34"/>
  <c r="E34" i="34"/>
  <c r="E29" i="34"/>
  <c r="L28" i="34"/>
  <c r="E27" i="34"/>
  <c r="E26" i="34"/>
  <c r="J25" i="34"/>
  <c r="M19" i="34"/>
  <c r="M18" i="34"/>
  <c r="J16" i="34"/>
  <c r="K15" i="34"/>
  <c r="E6" i="34"/>
  <c r="R42" i="106"/>
  <c r="R38" i="106"/>
  <c r="R34" i="106"/>
  <c r="I19" i="81"/>
  <c r="E38" i="35"/>
  <c r="K31" i="35"/>
  <c r="E29" i="35"/>
  <c r="J27" i="35"/>
  <c r="M17" i="35"/>
  <c r="L10" i="35"/>
  <c r="J8" i="35"/>
  <c r="I17" i="81"/>
  <c r="I15" i="81"/>
  <c r="AF6" i="35"/>
  <c r="L40" i="35"/>
  <c r="E39" i="35"/>
  <c r="L38" i="35"/>
  <c r="M37" i="35"/>
  <c r="K36" i="35"/>
  <c r="M31" i="35"/>
  <c r="E31" i="35"/>
  <c r="L30" i="35"/>
  <c r="K29" i="35"/>
  <c r="M28" i="35"/>
  <c r="E28" i="35"/>
  <c r="L27" i="35"/>
  <c r="L20" i="35"/>
  <c r="E19" i="35"/>
  <c r="M18" i="35"/>
  <c r="K17" i="35"/>
  <c r="M16" i="35"/>
  <c r="J11" i="35"/>
  <c r="J10" i="35"/>
  <c r="M9" i="35"/>
  <c r="E9" i="35"/>
  <c r="L8" i="35"/>
  <c r="J7" i="35"/>
  <c r="AE12" i="34"/>
  <c r="AE8" i="34"/>
  <c r="AE4" i="34"/>
  <c r="E55" i="34"/>
  <c r="U55" i="34" s="1"/>
  <c r="L54" i="34"/>
  <c r="E53" i="34"/>
  <c r="U53" i="34" s="1"/>
  <c r="E48" i="34"/>
  <c r="U48" i="34" s="1"/>
  <c r="E47" i="34"/>
  <c r="L46" i="34"/>
  <c r="M45" i="34"/>
  <c r="K44" i="34"/>
  <c r="M38" i="34"/>
  <c r="M37" i="34"/>
  <c r="K35" i="34"/>
  <c r="E28" i="34"/>
  <c r="E25" i="34"/>
  <c r="E19" i="34"/>
  <c r="L18" i="34"/>
  <c r="E17" i="34"/>
  <c r="E16" i="34"/>
  <c r="J15" i="34"/>
  <c r="M10" i="34"/>
  <c r="M9" i="34"/>
  <c r="K7" i="34"/>
  <c r="R45" i="106"/>
  <c r="R41" i="106"/>
  <c r="R37" i="106"/>
  <c r="F33" i="98"/>
  <c r="AF8" i="35"/>
  <c r="L39" i="35"/>
  <c r="K37" i="35"/>
  <c r="M29" i="35"/>
  <c r="E20" i="35"/>
  <c r="K18" i="35"/>
  <c r="L11" i="35"/>
  <c r="T16" i="81"/>
  <c r="G5" i="81" s="1"/>
  <c r="AF9" i="35"/>
  <c r="AF5" i="35"/>
  <c r="K40" i="35"/>
  <c r="M39" i="35"/>
  <c r="K38" i="35"/>
  <c r="L37" i="35"/>
  <c r="E36" i="35"/>
  <c r="L31" i="35"/>
  <c r="K30" i="35"/>
  <c r="J29" i="35"/>
  <c r="L28" i="35"/>
  <c r="K27" i="35"/>
  <c r="K20" i="35"/>
  <c r="M19" i="35"/>
  <c r="L18" i="35"/>
  <c r="E17" i="35"/>
  <c r="L16" i="35"/>
  <c r="M11" i="35"/>
  <c r="E11" i="35"/>
  <c r="M10" i="35"/>
  <c r="E10" i="35"/>
  <c r="L9" i="35"/>
  <c r="K8" i="35"/>
  <c r="M7" i="35"/>
  <c r="E7" i="35"/>
  <c r="AE11" i="34"/>
  <c r="AE7" i="34"/>
  <c r="AE3" i="34"/>
  <c r="M57" i="34"/>
  <c r="M56" i="34"/>
  <c r="M55" i="34"/>
  <c r="K54" i="34"/>
  <c r="M53" i="34"/>
  <c r="K46" i="34"/>
  <c r="L45" i="34"/>
  <c r="E44" i="34"/>
  <c r="E38" i="34"/>
  <c r="L37" i="34"/>
  <c r="E36" i="34"/>
  <c r="J35" i="34"/>
  <c r="K34" i="34"/>
  <c r="K26" i="34"/>
  <c r="E18" i="34"/>
  <c r="E15" i="34"/>
  <c r="E10" i="34"/>
  <c r="L9" i="34"/>
  <c r="E8" i="34"/>
  <c r="J7" i="34"/>
  <c r="K6" i="34"/>
  <c r="R44" i="106"/>
  <c r="R40" i="106"/>
  <c r="R36" i="106"/>
  <c r="AF4" i="35"/>
  <c r="E40" i="35"/>
  <c r="M36" i="35"/>
  <c r="J30" i="35"/>
  <c r="K28" i="35"/>
  <c r="L19" i="35"/>
  <c r="K16" i="35"/>
  <c r="K9" i="35"/>
  <c r="AE10" i="34"/>
  <c r="L55" i="34"/>
  <c r="E35" i="34"/>
  <c r="K25" i="34"/>
  <c r="K16" i="34"/>
  <c r="E7" i="34"/>
  <c r="R35" i="106"/>
  <c r="J34" i="34"/>
  <c r="R39" i="106"/>
  <c r="AE6" i="34"/>
  <c r="E56" i="34"/>
  <c r="U56" i="34" s="1"/>
  <c r="Y56" i="34" s="1"/>
  <c r="E46" i="34"/>
  <c r="M28" i="34"/>
  <c r="J26" i="34"/>
  <c r="AE14" i="34"/>
  <c r="E54" i="34"/>
  <c r="U54" i="34" s="1"/>
  <c r="E37" i="34"/>
  <c r="J6" i="34"/>
  <c r="L7" i="35"/>
  <c r="E57" i="34"/>
  <c r="U57" i="34" s="1"/>
  <c r="L53" i="34"/>
  <c r="M44" i="34"/>
  <c r="M29" i="34"/>
  <c r="R43" i="106"/>
  <c r="Z23" i="109"/>
  <c r="G17" i="109" s="1"/>
  <c r="K45" i="34"/>
  <c r="E9" i="34"/>
  <c r="D33" i="98"/>
  <c r="K47" i="98" s="1"/>
  <c r="G32" i="98"/>
  <c r="D34" i="98"/>
  <c r="K48" i="98" s="1"/>
  <c r="G35" i="98"/>
  <c r="C31" i="81"/>
  <c r="D5" i="81" s="1"/>
  <c r="I33" i="81"/>
  <c r="K33" i="81" s="1"/>
  <c r="I39" i="81"/>
  <c r="K39" i="81" s="1"/>
  <c r="T15" i="81"/>
  <c r="I21" i="81"/>
  <c r="I24" i="81"/>
  <c r="K24" i="81" s="1"/>
  <c r="B35" i="98"/>
  <c r="I49" i="98" s="1"/>
  <c r="B36" i="98"/>
  <c r="I50" i="98" s="1"/>
  <c r="I34" i="98"/>
  <c r="D7" i="98"/>
  <c r="I41" i="81"/>
  <c r="K41" i="81" s="1"/>
  <c r="D36" i="98"/>
  <c r="K50" i="98" s="1"/>
  <c r="E32" i="98"/>
  <c r="C7" i="98" s="1"/>
  <c r="B34" i="98"/>
  <c r="I48" i="98" s="1"/>
  <c r="J35" i="98"/>
  <c r="G34" i="98"/>
  <c r="I36" i="98"/>
  <c r="C35" i="98"/>
  <c r="E34" i="98"/>
  <c r="C9" i="98" s="1"/>
  <c r="I20" i="81"/>
  <c r="I23" i="81"/>
  <c r="I25" i="81"/>
  <c r="C34" i="98"/>
  <c r="D32" i="98"/>
  <c r="K46" i="98" s="1"/>
  <c r="F36" i="98"/>
  <c r="E36" i="98"/>
  <c r="C11" i="98" s="1"/>
  <c r="I33" i="98"/>
  <c r="J32" i="98"/>
  <c r="G33" i="98"/>
  <c r="I34" i="81"/>
  <c r="K34" i="81" s="1"/>
  <c r="I14" i="81"/>
  <c r="H33" i="98"/>
  <c r="D8" i="98" s="1"/>
  <c r="E35" i="98"/>
  <c r="C10" i="98" s="1"/>
  <c r="F32" i="98"/>
  <c r="G36" i="98"/>
  <c r="J36" i="98"/>
  <c r="I31" i="81"/>
  <c r="K31" i="81" s="1"/>
  <c r="I22" i="81"/>
  <c r="C33" i="98"/>
  <c r="H35" i="98"/>
  <c r="D10" i="98" s="1"/>
  <c r="C36" i="98"/>
  <c r="D35" i="98"/>
  <c r="K49" i="98" s="1"/>
  <c r="E33" i="98"/>
  <c r="C8" i="98" s="1"/>
  <c r="F35" i="98"/>
  <c r="F34" i="98"/>
  <c r="C32" i="98"/>
  <c r="I40" i="81"/>
  <c r="K40" i="81" s="1"/>
  <c r="I35" i="81"/>
  <c r="K35" i="81" s="1"/>
  <c r="B33" i="98"/>
  <c r="I47" i="98" s="1"/>
  <c r="H36" i="98"/>
  <c r="D11" i="98" s="1"/>
  <c r="O32" i="98"/>
  <c r="P34" i="98"/>
  <c r="S34" i="106"/>
  <c r="N36" i="98"/>
  <c r="G11" i="98" s="1"/>
  <c r="S37" i="106"/>
  <c r="S41" i="106"/>
  <c r="I37" i="81"/>
  <c r="I36" i="81"/>
  <c r="K36" i="81" s="1"/>
  <c r="I42" i="81"/>
  <c r="K42" i="81" s="1"/>
  <c r="B32" i="98"/>
  <c r="I46" i="98" s="1"/>
  <c r="I35" i="98"/>
  <c r="N34" i="98"/>
  <c r="G9" i="98" s="1"/>
  <c r="S45" i="106"/>
  <c r="R35" i="98"/>
  <c r="S43" i="106"/>
  <c r="I32" i="98"/>
  <c r="J33" i="98"/>
  <c r="J34" i="98"/>
  <c r="G7" i="98"/>
  <c r="S35" i="106"/>
  <c r="P33" i="98"/>
  <c r="S36" i="106"/>
  <c r="S39" i="106"/>
  <c r="S40" i="106"/>
  <c r="S42" i="106"/>
  <c r="S44" i="106"/>
  <c r="I32" i="81"/>
  <c r="I38" i="81"/>
  <c r="K38" i="81" s="1"/>
  <c r="O35" i="98"/>
  <c r="S38" i="106"/>
  <c r="S36" i="98"/>
  <c r="R32" i="98"/>
  <c r="S35" i="98"/>
  <c r="Q34" i="98"/>
  <c r="H9" i="98" s="1"/>
  <c r="O36" i="98"/>
  <c r="R36" i="98"/>
  <c r="Q36" i="98"/>
  <c r="H11" i="98" s="1"/>
  <c r="S33" i="98"/>
  <c r="R33" i="98"/>
  <c r="O33" i="98"/>
  <c r="N35" i="98"/>
  <c r="G10" i="98" s="1"/>
  <c r="P35" i="98"/>
  <c r="P36" i="98"/>
  <c r="Q33" i="98"/>
  <c r="H8" i="98" s="1"/>
  <c r="Q35" i="98"/>
  <c r="H10" i="98" s="1"/>
  <c r="S32" i="98"/>
  <c r="R34" i="98"/>
  <c r="H34" i="98"/>
  <c r="D9" i="98" s="1"/>
  <c r="N33" i="98"/>
  <c r="G8" i="98" s="1"/>
  <c r="S34" i="98"/>
  <c r="O34" i="98"/>
  <c r="Q32" i="98"/>
  <c r="H7" i="98" s="1"/>
  <c r="P32" i="98"/>
  <c r="S18" i="83"/>
  <c r="S14" i="83"/>
  <c r="S7" i="83"/>
  <c r="S3" i="83"/>
  <c r="S8" i="83"/>
  <c r="S17" i="83"/>
  <c r="S12" i="83"/>
  <c r="S6" i="83"/>
  <c r="S15" i="83"/>
  <c r="S16" i="83"/>
  <c r="S10" i="83"/>
  <c r="S5" i="83"/>
  <c r="S4" i="83"/>
  <c r="M10" i="83"/>
  <c r="F4" i="83"/>
  <c r="S9" i="83"/>
  <c r="S13" i="83"/>
  <c r="S11" i="83"/>
  <c r="S23" i="83"/>
  <c r="S26" i="83"/>
  <c r="M5" i="83"/>
  <c r="M4" i="83"/>
  <c r="F8" i="83"/>
  <c r="F6" i="83"/>
  <c r="M13" i="83"/>
  <c r="F9" i="83"/>
  <c r="Z33" i="109"/>
  <c r="F13" i="83"/>
  <c r="Z32" i="109"/>
  <c r="AA34" i="109"/>
  <c r="M12" i="83"/>
  <c r="S25" i="83"/>
  <c r="AA32" i="109"/>
  <c r="M8" i="83"/>
  <c r="M7" i="83"/>
  <c r="F10" i="83"/>
  <c r="S24" i="83"/>
  <c r="S27" i="83"/>
  <c r="F7" i="83"/>
  <c r="M11" i="83"/>
  <c r="Z34" i="109"/>
  <c r="S28" i="83"/>
  <c r="F5" i="83"/>
  <c r="F11" i="83"/>
  <c r="F12" i="83"/>
  <c r="AA33" i="109"/>
  <c r="M6" i="83"/>
  <c r="M9" i="83"/>
  <c r="I24" i="83"/>
  <c r="Z30" i="109"/>
  <c r="Z26" i="109"/>
  <c r="Z18" i="109"/>
  <c r="I23" i="83"/>
  <c r="I26" i="83"/>
  <c r="I27" i="83"/>
  <c r="Z29" i="109"/>
  <c r="G23" i="109" s="1"/>
  <c r="Z25" i="109"/>
  <c r="Z27" i="109"/>
  <c r="I25" i="83"/>
  <c r="I28" i="83"/>
  <c r="AA28" i="109"/>
  <c r="AA23" i="109"/>
  <c r="H17" i="109" s="1"/>
  <c r="Z31" i="109"/>
  <c r="H36" i="106"/>
  <c r="C5" i="106" s="1"/>
  <c r="Z24" i="109"/>
  <c r="H35" i="106"/>
  <c r="Z28" i="109"/>
  <c r="AA24" i="109"/>
  <c r="AA31" i="109"/>
  <c r="AA27" i="109"/>
  <c r="I36" i="106"/>
  <c r="D5" i="106" s="1"/>
  <c r="AA29" i="109"/>
  <c r="H23" i="109" s="1"/>
  <c r="AA25" i="109"/>
  <c r="H19" i="109" s="1"/>
  <c r="AA26" i="109"/>
  <c r="AA30" i="109"/>
  <c r="AA18" i="109"/>
  <c r="D5" i="109" s="1"/>
  <c r="I35" i="106"/>
  <c r="AA17" i="109"/>
  <c r="X21" i="92"/>
  <c r="S21" i="3"/>
  <c r="C5" i="3" s="1"/>
  <c r="S22" i="3"/>
  <c r="C6" i="3" s="1"/>
  <c r="S23" i="3"/>
  <c r="C7" i="3" s="1"/>
  <c r="S24" i="3"/>
  <c r="C8" i="3" s="1"/>
  <c r="S25" i="3"/>
  <c r="C9" i="3" s="1"/>
  <c r="S26" i="3"/>
  <c r="C10" i="3" s="1"/>
  <c r="C20" i="91"/>
  <c r="C33" i="91"/>
  <c r="I20" i="3"/>
  <c r="X42" i="91"/>
  <c r="X51" i="91"/>
  <c r="X38" i="92"/>
  <c r="L17" i="92" s="1"/>
  <c r="X53" i="92"/>
  <c r="X36" i="91"/>
  <c r="X40" i="91"/>
  <c r="X44" i="91"/>
  <c r="X49" i="91"/>
  <c r="X57" i="91"/>
  <c r="X40" i="92"/>
  <c r="L19" i="92" s="1"/>
  <c r="X44" i="92"/>
  <c r="H21" i="2"/>
  <c r="T51" i="91"/>
  <c r="X53" i="91"/>
  <c r="T40" i="92"/>
  <c r="X42" i="92"/>
  <c r="X49" i="92"/>
  <c r="L28" i="92" s="1"/>
  <c r="T23" i="92"/>
  <c r="W19" i="91"/>
  <c r="W27" i="91"/>
  <c r="X27" i="91" s="1"/>
  <c r="G10" i="91" s="1"/>
  <c r="P40" i="6"/>
  <c r="P48" i="6"/>
  <c r="B10" i="90"/>
  <c r="B4" i="90"/>
  <c r="B5" i="90" s="1"/>
  <c r="S43" i="6"/>
  <c r="P39" i="6"/>
  <c r="Q40" i="6"/>
  <c r="R42" i="6"/>
  <c r="S42" i="6"/>
  <c r="I27" i="3"/>
  <c r="R51" i="6"/>
  <c r="S51" i="6"/>
  <c r="C41" i="91"/>
  <c r="C24" i="91"/>
  <c r="C37" i="91"/>
  <c r="X17" i="92"/>
  <c r="W23" i="91"/>
  <c r="X55" i="92"/>
  <c r="L34" i="92" s="1"/>
  <c r="T55" i="92"/>
  <c r="X23" i="92"/>
  <c r="T25" i="91"/>
  <c r="L62" i="91" s="1"/>
  <c r="M62" i="91" s="1"/>
  <c r="E49" i="91" s="1"/>
  <c r="L49" i="91" s="1"/>
  <c r="M49" i="91" s="1"/>
  <c r="N49" i="91" s="1"/>
  <c r="M9" i="91" s="1"/>
  <c r="T42" i="91"/>
  <c r="H34" i="2"/>
  <c r="H38" i="2"/>
  <c r="AE8" i="7"/>
  <c r="AE7" i="7"/>
  <c r="T30" i="7"/>
  <c r="T17" i="7"/>
  <c r="T16" i="7"/>
  <c r="T19" i="7"/>
  <c r="T15" i="7"/>
  <c r="D38" i="3"/>
  <c r="Q38" i="3" s="1"/>
  <c r="F35" i="3"/>
  <c r="T20" i="7"/>
  <c r="T18" i="7"/>
  <c r="G43" i="3"/>
  <c r="D40" i="3"/>
  <c r="Q40" i="3" s="1"/>
  <c r="F37" i="3"/>
  <c r="E42" i="3"/>
  <c r="R42" i="3" s="1"/>
  <c r="F39" i="3"/>
  <c r="F41" i="3"/>
  <c r="D36" i="3"/>
  <c r="Q36" i="3" s="1"/>
  <c r="U30" i="7"/>
  <c r="L49" i="17"/>
  <c r="L47" i="17"/>
  <c r="L41" i="17"/>
  <c r="L39" i="17"/>
  <c r="L37" i="17"/>
  <c r="L29" i="17"/>
  <c r="U29" i="17" s="1"/>
  <c r="L9" i="17" s="1"/>
  <c r="L27" i="17"/>
  <c r="K49" i="17"/>
  <c r="E49" i="17"/>
  <c r="M48" i="17"/>
  <c r="K37" i="17"/>
  <c r="E37" i="17"/>
  <c r="M30" i="17"/>
  <c r="E69" i="6"/>
  <c r="W69" i="6" s="1"/>
  <c r="Y9" i="6" s="1"/>
  <c r="E67" i="6"/>
  <c r="E61" i="6"/>
  <c r="W61" i="6" s="1"/>
  <c r="S10" i="6" s="1"/>
  <c r="E59" i="6"/>
  <c r="W59" i="6" s="1"/>
  <c r="S8" i="6" s="1"/>
  <c r="E52" i="6"/>
  <c r="K48" i="6"/>
  <c r="M42" i="6"/>
  <c r="K40" i="6"/>
  <c r="K29" i="6"/>
  <c r="M50" i="17"/>
  <c r="K39" i="17"/>
  <c r="E39" i="17"/>
  <c r="M38" i="17"/>
  <c r="K41" i="17"/>
  <c r="E41" i="17"/>
  <c r="M40" i="17"/>
  <c r="K27" i="17"/>
  <c r="T27" i="17" s="1"/>
  <c r="K7" i="17" s="1"/>
  <c r="E27" i="17"/>
  <c r="M26" i="17"/>
  <c r="E21" i="17"/>
  <c r="K20" i="17"/>
  <c r="M46" i="17"/>
  <c r="K19" i="17"/>
  <c r="L59" i="6"/>
  <c r="J49" i="6"/>
  <c r="T49" i="6" s="1"/>
  <c r="L32" i="6"/>
  <c r="K47" i="17"/>
  <c r="E47" i="17"/>
  <c r="M28" i="17"/>
  <c r="V28" i="17" s="1"/>
  <c r="M8" i="17" s="1"/>
  <c r="L69" i="6"/>
  <c r="J39" i="6"/>
  <c r="J21" i="6"/>
  <c r="K29" i="17"/>
  <c r="T29" i="17" s="1"/>
  <c r="K9" i="17" s="1"/>
  <c r="E29" i="17"/>
  <c r="E71" i="6"/>
  <c r="W71" i="6" s="1"/>
  <c r="Y11" i="6" s="1"/>
  <c r="L67" i="6"/>
  <c r="L51" i="6"/>
  <c r="J30" i="6"/>
  <c r="J20" i="6"/>
  <c r="L23" i="6"/>
  <c r="D18" i="16"/>
  <c r="D41" i="106" s="1"/>
  <c r="H35" i="2"/>
  <c r="H39" i="2"/>
  <c r="C28" i="91"/>
  <c r="E36" i="3"/>
  <c r="R36" i="3" s="1"/>
  <c r="E37" i="3"/>
  <c r="R37" i="3" s="1"/>
  <c r="B18" i="16"/>
  <c r="L60" i="6"/>
  <c r="E32" i="6"/>
  <c r="K59" i="6"/>
  <c r="E68" i="6"/>
  <c r="W68" i="6" s="1"/>
  <c r="Y8" i="6" s="1"/>
  <c r="E22" i="6"/>
  <c r="E40" i="6"/>
  <c r="E41" i="6"/>
  <c r="E49" i="6"/>
  <c r="M67" i="6"/>
  <c r="M27" i="17"/>
  <c r="V27" i="17" s="1"/>
  <c r="M7" i="17" s="1"/>
  <c r="S52" i="6"/>
  <c r="M52" i="6"/>
  <c r="M58" i="6"/>
  <c r="E20" i="17"/>
  <c r="K30" i="17"/>
  <c r="L50" i="17"/>
  <c r="E23" i="6"/>
  <c r="E33" i="6"/>
  <c r="Q39" i="6"/>
  <c r="J40" i="6"/>
  <c r="E42" i="6"/>
  <c r="E43" i="6"/>
  <c r="J48" i="6"/>
  <c r="E50" i="6"/>
  <c r="E58" i="6"/>
  <c r="K68" i="6"/>
  <c r="E70" i="6"/>
  <c r="W70" i="6" s="1"/>
  <c r="Y10" i="6" s="1"/>
  <c r="M21" i="17"/>
  <c r="M41" i="17"/>
  <c r="V41" i="17" s="1"/>
  <c r="K48" i="17"/>
  <c r="E20" i="6"/>
  <c r="E24" i="6"/>
  <c r="E29" i="6"/>
  <c r="E30" i="6"/>
  <c r="M33" i="6"/>
  <c r="L42" i="6"/>
  <c r="M43" i="6"/>
  <c r="E51" i="6"/>
  <c r="K58" i="6"/>
  <c r="E60" i="6"/>
  <c r="W60" i="6" s="1"/>
  <c r="S9" i="6" s="1"/>
  <c r="E62" i="6"/>
  <c r="W62" i="6" s="1"/>
  <c r="S11" i="6" s="1"/>
  <c r="K67" i="6"/>
  <c r="U67" i="6" s="1"/>
  <c r="W7" i="6" s="1"/>
  <c r="L68" i="6"/>
  <c r="K18" i="17"/>
  <c r="E28" i="17"/>
  <c r="E21" i="6"/>
  <c r="M24" i="6"/>
  <c r="J29" i="6"/>
  <c r="E31" i="6"/>
  <c r="E39" i="6"/>
  <c r="L58" i="6"/>
  <c r="K60" i="6"/>
  <c r="U60" i="6" s="1"/>
  <c r="Q9" i="6" s="1"/>
  <c r="K69" i="6"/>
  <c r="E46" i="17"/>
  <c r="K20" i="6"/>
  <c r="K21" i="6"/>
  <c r="M23" i="6"/>
  <c r="K30" i="6"/>
  <c r="M32" i="6"/>
  <c r="K39" i="6"/>
  <c r="M51" i="6"/>
  <c r="E26" i="17"/>
  <c r="T26" i="17" s="1"/>
  <c r="K6" i="17" s="1"/>
  <c r="K28" i="17"/>
  <c r="T28" i="17" s="1"/>
  <c r="K8" i="17" s="1"/>
  <c r="L30" i="17"/>
  <c r="M39" i="17"/>
  <c r="V39" i="17" s="1"/>
  <c r="E40" i="17"/>
  <c r="L48" i="17"/>
  <c r="E17" i="17"/>
  <c r="E18" i="17"/>
  <c r="L28" i="17"/>
  <c r="U28" i="17" s="1"/>
  <c r="L8" i="17" s="1"/>
  <c r="M37" i="17"/>
  <c r="V37" i="17" s="1"/>
  <c r="E38" i="17"/>
  <c r="K40" i="17"/>
  <c r="L46" i="17"/>
  <c r="M49" i="17"/>
  <c r="V49" i="17" s="1"/>
  <c r="E50" i="17"/>
  <c r="E19" i="17"/>
  <c r="L26" i="17"/>
  <c r="U26" i="17" s="1"/>
  <c r="L6" i="17" s="1"/>
  <c r="M29" i="17"/>
  <c r="V29" i="17" s="1"/>
  <c r="M9" i="17" s="1"/>
  <c r="E30" i="17"/>
  <c r="K38" i="17"/>
  <c r="L40" i="17"/>
  <c r="M47" i="17"/>
  <c r="V47" i="17" s="1"/>
  <c r="E48" i="17"/>
  <c r="K50" i="17"/>
  <c r="L17" i="17"/>
  <c r="L18" i="17"/>
  <c r="L19" i="17"/>
  <c r="L20" i="17"/>
  <c r="J21" i="17"/>
  <c r="M17" i="17"/>
  <c r="M18" i="17"/>
  <c r="M19" i="17"/>
  <c r="M20" i="17"/>
  <c r="K21" i="17"/>
  <c r="T21" i="17" s="1"/>
  <c r="E10" i="17" s="1"/>
  <c r="F44" i="3"/>
  <c r="J18" i="17"/>
  <c r="J19" i="17"/>
  <c r="J20" i="17"/>
  <c r="L21" i="17"/>
  <c r="D39" i="3"/>
  <c r="Q39" i="3" s="1"/>
  <c r="H24" i="3"/>
  <c r="G40" i="3"/>
  <c r="G41" i="3"/>
  <c r="G35" i="3"/>
  <c r="F36" i="3"/>
  <c r="H21" i="3"/>
  <c r="E38" i="3"/>
  <c r="R38" i="3" s="1"/>
  <c r="E39" i="3"/>
  <c r="R39" i="3" s="1"/>
  <c r="D41" i="3"/>
  <c r="Q41" i="3" s="1"/>
  <c r="H26" i="3"/>
  <c r="E43" i="3"/>
  <c r="R43" i="3" s="1"/>
  <c r="D45" i="3"/>
  <c r="Q45" i="3" s="1"/>
  <c r="D35" i="3"/>
  <c r="Q35" i="3" s="1"/>
  <c r="H20" i="3"/>
  <c r="G36" i="3"/>
  <c r="G37" i="3"/>
  <c r="F38" i="3"/>
  <c r="H23" i="3"/>
  <c r="E40" i="3"/>
  <c r="R40" i="3" s="1"/>
  <c r="E41" i="3"/>
  <c r="R41" i="3" s="1"/>
  <c r="F45" i="3"/>
  <c r="H30" i="3"/>
  <c r="E35" i="3"/>
  <c r="R35" i="3" s="1"/>
  <c r="D37" i="3"/>
  <c r="Q37" i="3" s="1"/>
  <c r="H22" i="3"/>
  <c r="G38" i="3"/>
  <c r="G39" i="3"/>
  <c r="F40" i="3"/>
  <c r="H25" i="3"/>
  <c r="G42" i="3"/>
  <c r="D44" i="3"/>
  <c r="Q44" i="3" s="1"/>
  <c r="S44" i="3" s="1"/>
  <c r="I22" i="3"/>
  <c r="I24" i="3"/>
  <c r="I26" i="3"/>
  <c r="H29" i="3"/>
  <c r="I21" i="3"/>
  <c r="I23" i="3"/>
  <c r="I25" i="3"/>
  <c r="I28" i="3"/>
  <c r="W24" i="6" l="1"/>
  <c r="G11" i="6" s="1"/>
  <c r="U69" i="6"/>
  <c r="W9" i="6" s="1"/>
  <c r="T21" i="6"/>
  <c r="D8" i="6" s="1"/>
  <c r="U21" i="6"/>
  <c r="E8" i="6" s="1"/>
  <c r="T40" i="6"/>
  <c r="T30" i="6"/>
  <c r="J8" i="6" s="1"/>
  <c r="V69" i="6"/>
  <c r="X9" i="6" s="1"/>
  <c r="T38" i="17"/>
  <c r="V30" i="17"/>
  <c r="M10" i="17" s="1"/>
  <c r="T46" i="17"/>
  <c r="U30" i="17"/>
  <c r="L10" i="17" s="1"/>
  <c r="V26" i="17"/>
  <c r="M6" i="17" s="1"/>
  <c r="T30" i="17"/>
  <c r="K10" i="17" s="1"/>
  <c r="T41" i="17"/>
  <c r="U27" i="17"/>
  <c r="L7" i="17" s="1"/>
  <c r="V46" i="17"/>
  <c r="U46" i="17"/>
  <c r="T50" i="17"/>
  <c r="V17" i="17"/>
  <c r="G6" i="17" s="1"/>
  <c r="T37" i="17"/>
  <c r="U37" i="17"/>
  <c r="T40" i="17"/>
  <c r="T48" i="17"/>
  <c r="V50" i="17"/>
  <c r="U41" i="17"/>
  <c r="U40" i="17"/>
  <c r="S7" i="9"/>
  <c r="U19" i="17"/>
  <c r="F8" i="17" s="1"/>
  <c r="U48" i="17"/>
  <c r="V38" i="17"/>
  <c r="V48" i="17"/>
  <c r="U47" i="17"/>
  <c r="V40" i="17"/>
  <c r="U49" i="17"/>
  <c r="S19" i="17"/>
  <c r="D8" i="17" s="1"/>
  <c r="V19" i="17"/>
  <c r="G8" i="17" s="1"/>
  <c r="U38" i="17"/>
  <c r="U50" i="17"/>
  <c r="T47" i="17"/>
  <c r="T39" i="17"/>
  <c r="T49" i="17"/>
  <c r="U39" i="17"/>
  <c r="V59" i="6"/>
  <c r="R8" i="6" s="1"/>
  <c r="L37" i="92"/>
  <c r="M37" i="92" s="1"/>
  <c r="N37" i="92" s="1"/>
  <c r="O30" i="92"/>
  <c r="O19" i="92"/>
  <c r="L41" i="92"/>
  <c r="M41" i="92" s="1"/>
  <c r="N41" i="92" s="1"/>
  <c r="Y23" i="92"/>
  <c r="O34" i="92"/>
  <c r="O23" i="92"/>
  <c r="O17" i="92"/>
  <c r="O28" i="92"/>
  <c r="L39" i="92"/>
  <c r="M39" i="92" s="1"/>
  <c r="N39" i="92" s="1"/>
  <c r="O32" i="92"/>
  <c r="O21" i="92"/>
  <c r="O28" i="91"/>
  <c r="N10" i="91" s="1"/>
  <c r="O41" i="91"/>
  <c r="X23" i="91"/>
  <c r="G8" i="91" s="1"/>
  <c r="O37" i="91"/>
  <c r="O24" i="91"/>
  <c r="X19" i="91"/>
  <c r="G6" i="91" s="1"/>
  <c r="O33" i="91"/>
  <c r="O20" i="91"/>
  <c r="N6" i="91" s="1"/>
  <c r="C35" i="91"/>
  <c r="L60" i="91"/>
  <c r="M60" i="91" s="1"/>
  <c r="E26" i="91"/>
  <c r="E39" i="91"/>
  <c r="Y42" i="92"/>
  <c r="L21" i="92"/>
  <c r="Y53" i="92"/>
  <c r="L32" i="92"/>
  <c r="Y44" i="92"/>
  <c r="L23" i="92"/>
  <c r="Y21" i="92"/>
  <c r="D21" i="92" s="1"/>
  <c r="L20" i="91"/>
  <c r="M20" i="91" s="1"/>
  <c r="Y36" i="91"/>
  <c r="E6" i="91" s="1"/>
  <c r="Y49" i="91"/>
  <c r="L33" i="91"/>
  <c r="M33" i="91" s="1"/>
  <c r="N33" i="91" s="1"/>
  <c r="Y57" i="91"/>
  <c r="L41" i="91"/>
  <c r="M41" i="91" s="1"/>
  <c r="N41" i="91" s="1"/>
  <c r="Y53" i="91"/>
  <c r="D8" i="91" s="1"/>
  <c r="L37" i="91"/>
  <c r="M37" i="91" s="1"/>
  <c r="N37" i="91" s="1"/>
  <c r="Y44" i="91"/>
  <c r="L28" i="91"/>
  <c r="M28" i="91" s="1"/>
  <c r="N28" i="91" s="1"/>
  <c r="M10" i="91" s="1"/>
  <c r="Y55" i="91"/>
  <c r="D9" i="91" s="1"/>
  <c r="L39" i="91"/>
  <c r="Y40" i="91"/>
  <c r="E8" i="91" s="1"/>
  <c r="L24" i="91"/>
  <c r="M24" i="91" s="1"/>
  <c r="N24" i="91" s="1"/>
  <c r="T49" i="98"/>
  <c r="Q49" i="98"/>
  <c r="O48" i="98"/>
  <c r="R48" i="98"/>
  <c r="O49" i="98"/>
  <c r="R49" i="98"/>
  <c r="R47" i="98"/>
  <c r="O47" i="98"/>
  <c r="Q47" i="98"/>
  <c r="T47" i="98"/>
  <c r="Q48" i="98"/>
  <c r="T48" i="98"/>
  <c r="O46" i="98"/>
  <c r="L46" i="98"/>
  <c r="R46" i="98"/>
  <c r="Q46" i="98"/>
  <c r="T46" i="98"/>
  <c r="Q50" i="98"/>
  <c r="T50" i="98"/>
  <c r="R50" i="98"/>
  <c r="O50" i="98"/>
  <c r="Y51" i="92"/>
  <c r="X38" i="91"/>
  <c r="Y57" i="34"/>
  <c r="K25" i="81"/>
  <c r="K21" i="81"/>
  <c r="K19" i="81"/>
  <c r="K23" i="81"/>
  <c r="K18" i="81"/>
  <c r="K22" i="81"/>
  <c r="K20" i="81"/>
  <c r="K17" i="81"/>
  <c r="H29" i="106"/>
  <c r="Y40" i="92"/>
  <c r="V20" i="17"/>
  <c r="G9" i="17" s="1"/>
  <c r="U17" i="17"/>
  <c r="F6" i="17" s="1"/>
  <c r="T17" i="17"/>
  <c r="E6" i="17" s="1"/>
  <c r="S17" i="17"/>
  <c r="D6" i="17" s="1"/>
  <c r="W33" i="6"/>
  <c r="M11" i="6" s="1"/>
  <c r="V58" i="6"/>
  <c r="R7" i="6" s="1"/>
  <c r="W67" i="6"/>
  <c r="Y7" i="6" s="1"/>
  <c r="V67" i="6"/>
  <c r="X7" i="6" s="1"/>
  <c r="W32" i="6"/>
  <c r="M10" i="6" s="1"/>
  <c r="V51" i="6"/>
  <c r="U68" i="6"/>
  <c r="W8" i="6" s="1"/>
  <c r="V68" i="6"/>
  <c r="X8" i="6" s="1"/>
  <c r="U58" i="6"/>
  <c r="Q7" i="6" s="1"/>
  <c r="W58" i="6"/>
  <c r="S7" i="6" s="1"/>
  <c r="U59" i="6"/>
  <c r="Q8" i="6" s="1"/>
  <c r="T29" i="6"/>
  <c r="J7" i="6" s="1"/>
  <c r="V60" i="6"/>
  <c r="R9" i="6" s="1"/>
  <c r="G21" i="109"/>
  <c r="G27" i="109"/>
  <c r="K16" i="81"/>
  <c r="G29" i="106"/>
  <c r="G25" i="109"/>
  <c r="S20" i="17"/>
  <c r="D9" i="17" s="1"/>
  <c r="U20" i="17"/>
  <c r="F9" i="17" s="1"/>
  <c r="T18" i="17"/>
  <c r="E7" i="17" s="1"/>
  <c r="V23" i="6"/>
  <c r="F10" i="6" s="1"/>
  <c r="U29" i="6"/>
  <c r="K7" i="6" s="1"/>
  <c r="G19" i="109"/>
  <c r="H27" i="106"/>
  <c r="H19" i="106"/>
  <c r="N46" i="98"/>
  <c r="L48" i="98"/>
  <c r="J9" i="98" s="1"/>
  <c r="L49" i="98"/>
  <c r="K10" i="98" s="1"/>
  <c r="G23" i="106"/>
  <c r="W53" i="34"/>
  <c r="L17" i="81"/>
  <c r="G25" i="106"/>
  <c r="H29" i="109"/>
  <c r="G30" i="109"/>
  <c r="E9" i="109"/>
  <c r="G26" i="109"/>
  <c r="H9" i="109" s="1"/>
  <c r="I9" i="109" s="1"/>
  <c r="F6" i="81"/>
  <c r="K32" i="81"/>
  <c r="O31" i="81" s="1"/>
  <c r="I6" i="81" s="1"/>
  <c r="N49" i="98"/>
  <c r="E10" i="106"/>
  <c r="H10" i="106" s="1"/>
  <c r="J10" i="106" s="1"/>
  <c r="K10" i="106" s="1"/>
  <c r="G28" i="106"/>
  <c r="R28" i="106"/>
  <c r="R24" i="106"/>
  <c r="R20" i="106"/>
  <c r="G5" i="106"/>
  <c r="R29" i="106"/>
  <c r="R27" i="106"/>
  <c r="R23" i="106"/>
  <c r="S23" i="106" s="1"/>
  <c r="T23" i="106" s="1"/>
  <c r="R19" i="106"/>
  <c r="R25" i="106"/>
  <c r="S25" i="106" s="1"/>
  <c r="T25" i="106" s="1"/>
  <c r="R17" i="106"/>
  <c r="R30" i="106"/>
  <c r="R26" i="106"/>
  <c r="R22" i="106"/>
  <c r="R18" i="106"/>
  <c r="R21" i="106"/>
  <c r="U20" i="6"/>
  <c r="E7" i="6" s="1"/>
  <c r="T20" i="6"/>
  <c r="D7" i="6" s="1"/>
  <c r="T39" i="6"/>
  <c r="T19" i="17"/>
  <c r="E8" i="17" s="1"/>
  <c r="F8" i="109"/>
  <c r="H24" i="109"/>
  <c r="F5" i="109"/>
  <c r="H18" i="109"/>
  <c r="F7" i="109"/>
  <c r="H22" i="109"/>
  <c r="E10" i="109"/>
  <c r="G28" i="109"/>
  <c r="H10" i="109" s="1"/>
  <c r="I10" i="109" s="1"/>
  <c r="F9" i="109"/>
  <c r="H26" i="109"/>
  <c r="H21" i="106"/>
  <c r="H25" i="106"/>
  <c r="F9" i="106"/>
  <c r="I9" i="106" s="1"/>
  <c r="H26" i="106"/>
  <c r="F6" i="106"/>
  <c r="I6" i="106" s="1"/>
  <c r="H20" i="106"/>
  <c r="L40" i="81"/>
  <c r="B11" i="98"/>
  <c r="J50" i="98"/>
  <c r="B9" i="98"/>
  <c r="J48" i="98"/>
  <c r="N37" i="34"/>
  <c r="U37" i="34" s="1"/>
  <c r="N55" i="34"/>
  <c r="N46" i="34"/>
  <c r="U46" i="34" s="1"/>
  <c r="N36" i="34"/>
  <c r="U36" i="34" s="1"/>
  <c r="N28" i="34"/>
  <c r="U28" i="34" s="1"/>
  <c r="N27" i="34"/>
  <c r="U27" i="34" s="1"/>
  <c r="N17" i="34"/>
  <c r="U17" i="34" s="1"/>
  <c r="N9" i="34"/>
  <c r="U9" i="34" s="1"/>
  <c r="N18" i="34"/>
  <c r="U18" i="34" s="1"/>
  <c r="N8" i="34"/>
  <c r="U8" i="34" s="1"/>
  <c r="G27" i="106"/>
  <c r="P29" i="109"/>
  <c r="Q29" i="109" s="1"/>
  <c r="R29" i="109" s="1"/>
  <c r="P23" i="109"/>
  <c r="Q23" i="109" s="1"/>
  <c r="R23" i="109" s="1"/>
  <c r="P25" i="109"/>
  <c r="Q25" i="109" s="1"/>
  <c r="P21" i="109"/>
  <c r="Q21" i="109" s="1"/>
  <c r="R21" i="109" s="1"/>
  <c r="P17" i="109"/>
  <c r="Q17" i="109" s="1"/>
  <c r="R17" i="109" s="1"/>
  <c r="P27" i="109"/>
  <c r="Q27" i="109" s="1"/>
  <c r="P19" i="109"/>
  <c r="Q19" i="109" s="1"/>
  <c r="R19" i="109" s="1"/>
  <c r="L34" i="81"/>
  <c r="I23" i="106"/>
  <c r="I25" i="106"/>
  <c r="N27" i="35"/>
  <c r="U27" i="35" s="1"/>
  <c r="N36" i="35"/>
  <c r="U36" i="35" s="1"/>
  <c r="N16" i="35"/>
  <c r="U16" i="35" s="1"/>
  <c r="N7" i="35"/>
  <c r="U7" i="35" s="1"/>
  <c r="S18" i="17"/>
  <c r="D7" i="17" s="1"/>
  <c r="U18" i="17"/>
  <c r="F7" i="17" s="1"/>
  <c r="W51" i="6"/>
  <c r="U30" i="6"/>
  <c r="K8" i="6" s="1"/>
  <c r="V32" i="6"/>
  <c r="L10" i="6" s="1"/>
  <c r="H27" i="109"/>
  <c r="F6" i="109"/>
  <c r="H20" i="109"/>
  <c r="H21" i="109"/>
  <c r="E7" i="109"/>
  <c r="G22" i="109"/>
  <c r="H7" i="109" s="1"/>
  <c r="I7" i="109" s="1"/>
  <c r="C5" i="109"/>
  <c r="P26" i="109"/>
  <c r="Q26" i="109" s="1"/>
  <c r="P22" i="109"/>
  <c r="Q22" i="109" s="1"/>
  <c r="P18" i="109"/>
  <c r="P30" i="109"/>
  <c r="Q30" i="109" s="1"/>
  <c r="R30" i="109" s="1"/>
  <c r="P28" i="109"/>
  <c r="Q28" i="109" s="1"/>
  <c r="P24" i="109"/>
  <c r="P20" i="109"/>
  <c r="R27" i="109"/>
  <c r="H23" i="106"/>
  <c r="F5" i="106"/>
  <c r="I5" i="106" s="1"/>
  <c r="H18" i="106"/>
  <c r="F5" i="81"/>
  <c r="K37" i="81"/>
  <c r="B10" i="98"/>
  <c r="J49" i="98"/>
  <c r="L20" i="81"/>
  <c r="E9" i="106"/>
  <c r="H9" i="106" s="1"/>
  <c r="J9" i="106" s="1"/>
  <c r="K9" i="106" s="1"/>
  <c r="G26" i="106"/>
  <c r="W54" i="34"/>
  <c r="E7" i="106"/>
  <c r="H7" i="106" s="1"/>
  <c r="J7" i="106" s="1"/>
  <c r="K7" i="106" s="1"/>
  <c r="G22" i="106"/>
  <c r="E5" i="106"/>
  <c r="H5" i="106" s="1"/>
  <c r="G18" i="106"/>
  <c r="N48" i="34"/>
  <c r="N56" i="34"/>
  <c r="N19" i="34"/>
  <c r="U19" i="34" s="1"/>
  <c r="Y19" i="34" s="1"/>
  <c r="N38" i="34"/>
  <c r="U38" i="34" s="1"/>
  <c r="Y38" i="34" s="1"/>
  <c r="N10" i="34"/>
  <c r="U10" i="34" s="1"/>
  <c r="Y10" i="34" s="1"/>
  <c r="N29" i="34"/>
  <c r="U29" i="34" s="1"/>
  <c r="Y29" i="34" s="1"/>
  <c r="N47" i="34"/>
  <c r="U47" i="34" s="1"/>
  <c r="Y47" i="34" s="1"/>
  <c r="N57" i="34"/>
  <c r="E6" i="106"/>
  <c r="H6" i="106" s="1"/>
  <c r="J6" i="106" s="1"/>
  <c r="K6" i="106" s="1"/>
  <c r="G20" i="106"/>
  <c r="I20" i="106" s="1"/>
  <c r="W55" i="34"/>
  <c r="X55" i="34"/>
  <c r="Y55" i="34"/>
  <c r="G17" i="106"/>
  <c r="H30" i="106"/>
  <c r="G30" i="106"/>
  <c r="G29" i="109"/>
  <c r="E5" i="109"/>
  <c r="G18" i="109"/>
  <c r="E8" i="109"/>
  <c r="G24" i="109"/>
  <c r="H8" i="109" s="1"/>
  <c r="I8" i="109" s="1"/>
  <c r="F10" i="106"/>
  <c r="I10" i="106" s="1"/>
  <c r="H28" i="106"/>
  <c r="N8" i="35"/>
  <c r="U8" i="35" s="1"/>
  <c r="N9" i="35"/>
  <c r="U9" i="35" s="1"/>
  <c r="N38" i="35"/>
  <c r="U38" i="35" s="1"/>
  <c r="N37" i="35"/>
  <c r="U37" i="35" s="1"/>
  <c r="N29" i="35"/>
  <c r="U29" i="35" s="1"/>
  <c r="N17" i="35"/>
  <c r="U17" i="35" s="1"/>
  <c r="N28" i="35"/>
  <c r="U28" i="35" s="1"/>
  <c r="N18" i="35"/>
  <c r="U18" i="35" s="1"/>
  <c r="U21" i="17"/>
  <c r="F10" i="17" s="1"/>
  <c r="V18" i="17"/>
  <c r="G7" i="17" s="1"/>
  <c r="S21" i="17"/>
  <c r="D10" i="17" s="1"/>
  <c r="W23" i="6"/>
  <c r="G10" i="6" s="1"/>
  <c r="V21" i="17"/>
  <c r="G10" i="17" s="1"/>
  <c r="T20" i="17"/>
  <c r="E9" i="17" s="1"/>
  <c r="H25" i="109"/>
  <c r="S29" i="106"/>
  <c r="R25" i="109"/>
  <c r="E6" i="109"/>
  <c r="G20" i="109"/>
  <c r="H6" i="109" s="1"/>
  <c r="I6" i="109" s="1"/>
  <c r="F10" i="109"/>
  <c r="H28" i="109"/>
  <c r="N50" i="98"/>
  <c r="F7" i="106"/>
  <c r="I7" i="106" s="1"/>
  <c r="H22" i="106"/>
  <c r="F8" i="106"/>
  <c r="I8" i="106" s="1"/>
  <c r="H24" i="106"/>
  <c r="H17" i="106"/>
  <c r="L47" i="98"/>
  <c r="B7" i="98"/>
  <c r="J46" i="98"/>
  <c r="B8" i="98"/>
  <c r="J47" i="98"/>
  <c r="K14" i="81"/>
  <c r="E5" i="81"/>
  <c r="L23" i="81"/>
  <c r="L50" i="98"/>
  <c r="N48" i="98"/>
  <c r="N47" i="98"/>
  <c r="G19" i="106"/>
  <c r="N31" i="35"/>
  <c r="U31" i="35" s="1"/>
  <c r="N20" i="35"/>
  <c r="U20" i="35" s="1"/>
  <c r="N11" i="35"/>
  <c r="U11" i="35" s="1"/>
  <c r="N19" i="35"/>
  <c r="U19" i="35" s="1"/>
  <c r="N30" i="35"/>
  <c r="U30" i="35" s="1"/>
  <c r="N40" i="35"/>
  <c r="U40" i="35" s="1"/>
  <c r="N10" i="35"/>
  <c r="U10" i="35" s="1"/>
  <c r="N39" i="35"/>
  <c r="U39" i="35" s="1"/>
  <c r="E8" i="106"/>
  <c r="H8" i="106" s="1"/>
  <c r="J8" i="106" s="1"/>
  <c r="K8" i="106" s="1"/>
  <c r="G24" i="106"/>
  <c r="Y48" i="34"/>
  <c r="E6" i="81"/>
  <c r="K15" i="81"/>
  <c r="G21" i="106"/>
  <c r="N35" i="34"/>
  <c r="U35" i="34" s="1"/>
  <c r="N53" i="34"/>
  <c r="N25" i="34"/>
  <c r="U25" i="34" s="1"/>
  <c r="N7" i="34"/>
  <c r="U7" i="34" s="1"/>
  <c r="N6" i="34"/>
  <c r="U6" i="34" s="1"/>
  <c r="N26" i="34"/>
  <c r="U26" i="34" s="1"/>
  <c r="N54" i="34"/>
  <c r="N15" i="34"/>
  <c r="U15" i="34" s="1"/>
  <c r="N34" i="34"/>
  <c r="U34" i="34" s="1"/>
  <c r="N16" i="34"/>
  <c r="U16" i="34" s="1"/>
  <c r="N45" i="34"/>
  <c r="U45" i="34" s="1"/>
  <c r="W45" i="34" s="1"/>
  <c r="N44" i="34"/>
  <c r="U44" i="34" s="1"/>
  <c r="W44" i="34" s="1"/>
  <c r="H30" i="109"/>
  <c r="V42" i="6"/>
  <c r="S37" i="3"/>
  <c r="T41" i="3"/>
  <c r="T39" i="3"/>
  <c r="S40" i="3"/>
  <c r="T37" i="3"/>
  <c r="T36" i="3"/>
  <c r="C26" i="91"/>
  <c r="S41" i="3"/>
  <c r="S45" i="3"/>
  <c r="C32" i="92"/>
  <c r="S35" i="3"/>
  <c r="S38" i="3"/>
  <c r="U15" i="7"/>
  <c r="S39" i="3"/>
  <c r="T42" i="3"/>
  <c r="T35" i="3"/>
  <c r="T40" i="3"/>
  <c r="T43" i="3"/>
  <c r="T38" i="3"/>
  <c r="S36" i="3"/>
  <c r="H38" i="3"/>
  <c r="C34" i="92"/>
  <c r="M34" i="92" s="1"/>
  <c r="N34" i="92" s="1"/>
  <c r="C23" i="92"/>
  <c r="Y19" i="92"/>
  <c r="C19" i="92"/>
  <c r="M19" i="92" s="1"/>
  <c r="N19" i="92" s="1"/>
  <c r="C30" i="92"/>
  <c r="M30" i="92" s="1"/>
  <c r="N30" i="92" s="1"/>
  <c r="C21" i="92"/>
  <c r="Y49" i="92"/>
  <c r="Y38" i="92"/>
  <c r="Y17" i="92"/>
  <c r="C28" i="92"/>
  <c r="M28" i="92" s="1"/>
  <c r="N28" i="92" s="1"/>
  <c r="C17" i="92"/>
  <c r="M17" i="92" s="1"/>
  <c r="N17" i="92" s="1"/>
  <c r="Y51" i="91"/>
  <c r="D7" i="91" s="1"/>
  <c r="C22" i="91"/>
  <c r="I42" i="3"/>
  <c r="T48" i="6"/>
  <c r="Y42" i="91"/>
  <c r="E9" i="91" s="1"/>
  <c r="W52" i="6"/>
  <c r="F13" i="16"/>
  <c r="E41" i="106" s="1"/>
  <c r="AE17" i="7"/>
  <c r="AE16" i="7"/>
  <c r="Y20" i="7"/>
  <c r="H40" i="3"/>
  <c r="I37" i="3"/>
  <c r="H36" i="3"/>
  <c r="AB16" i="17"/>
  <c r="AC24" i="6"/>
  <c r="AC19" i="6"/>
  <c r="AC18" i="6"/>
  <c r="AB20" i="17"/>
  <c r="AC23" i="6"/>
  <c r="AC25" i="6"/>
  <c r="AB19" i="17"/>
  <c r="AB15" i="17"/>
  <c r="AC22" i="6"/>
  <c r="AC20" i="6"/>
  <c r="AB18" i="17"/>
  <c r="AC21" i="6"/>
  <c r="AB17" i="17"/>
  <c r="I35" i="3"/>
  <c r="W43" i="6"/>
  <c r="I38" i="3"/>
  <c r="I40" i="3"/>
  <c r="H44" i="3"/>
  <c r="I43" i="3"/>
  <c r="H41" i="3"/>
  <c r="W42" i="6"/>
  <c r="AE15" i="7"/>
  <c r="AE12" i="7"/>
  <c r="Z17" i="7"/>
  <c r="V17" i="7"/>
  <c r="Y17" i="7"/>
  <c r="U17" i="7"/>
  <c r="X17" i="7"/>
  <c r="W17" i="7"/>
  <c r="H45" i="3"/>
  <c r="U49" i="6"/>
  <c r="U48" i="6"/>
  <c r="H35" i="3"/>
  <c r="AE3" i="7"/>
  <c r="AE9" i="7"/>
  <c r="Z15" i="7"/>
  <c r="V15" i="7"/>
  <c r="Y15" i="7"/>
  <c r="X15" i="7"/>
  <c r="W15" i="7"/>
  <c r="AE13" i="7"/>
  <c r="AE14" i="7"/>
  <c r="H39" i="3"/>
  <c r="H37" i="3"/>
  <c r="U18" i="7"/>
  <c r="W18" i="7"/>
  <c r="Z18" i="7"/>
  <c r="X20" i="7"/>
  <c r="C39" i="91"/>
  <c r="W25" i="91"/>
  <c r="U39" i="6"/>
  <c r="I39" i="3"/>
  <c r="I36" i="3"/>
  <c r="I41" i="3"/>
  <c r="U40" i="6"/>
  <c r="U19" i="7"/>
  <c r="Y55" i="92"/>
  <c r="E45" i="91" l="1"/>
  <c r="L45" i="91" s="1"/>
  <c r="M45" i="91" s="1"/>
  <c r="N45" i="91" s="1"/>
  <c r="M7" i="91" s="1"/>
  <c r="E22" i="91"/>
  <c r="L22" i="91" s="1"/>
  <c r="M22" i="91" s="1"/>
  <c r="N22" i="91" s="1"/>
  <c r="L26" i="91"/>
  <c r="M26" i="91" s="1"/>
  <c r="N26" i="91" s="1"/>
  <c r="I9" i="91"/>
  <c r="D28" i="91"/>
  <c r="K10" i="91" s="1"/>
  <c r="E10" i="91"/>
  <c r="D41" i="91"/>
  <c r="J10" i="91" s="1"/>
  <c r="D10" i="91"/>
  <c r="D33" i="91"/>
  <c r="J6" i="91" s="1"/>
  <c r="D6" i="91"/>
  <c r="D20" i="91"/>
  <c r="K6" i="91" s="1"/>
  <c r="D37" i="91"/>
  <c r="J8" i="91" s="1"/>
  <c r="X25" i="91"/>
  <c r="G9" i="91" s="1"/>
  <c r="O39" i="91"/>
  <c r="O26" i="91"/>
  <c r="D24" i="91"/>
  <c r="K8" i="91" s="1"/>
  <c r="O22" i="91"/>
  <c r="E35" i="91"/>
  <c r="O35" i="91" s="1"/>
  <c r="N20" i="91"/>
  <c r="M6" i="91" s="1"/>
  <c r="D32" i="92"/>
  <c r="J8" i="92" s="1"/>
  <c r="M23" i="92"/>
  <c r="N23" i="92" s="1"/>
  <c r="M21" i="92"/>
  <c r="N21" i="92" s="1"/>
  <c r="M32" i="92"/>
  <c r="N32" i="92" s="1"/>
  <c r="D30" i="92"/>
  <c r="J7" i="92" s="1"/>
  <c r="D23" i="92"/>
  <c r="X21" i="91"/>
  <c r="G7" i="91" s="1"/>
  <c r="Y38" i="91"/>
  <c r="E7" i="91" s="1"/>
  <c r="M39" i="91"/>
  <c r="N39" i="91" s="1"/>
  <c r="M48" i="98"/>
  <c r="S48" i="98"/>
  <c r="P48" i="98"/>
  <c r="M47" i="98"/>
  <c r="S47" i="98"/>
  <c r="P47" i="98"/>
  <c r="M50" i="98"/>
  <c r="P50" i="98"/>
  <c r="S50" i="98"/>
  <c r="M46" i="98"/>
  <c r="S46" i="98"/>
  <c r="P46" i="98"/>
  <c r="M49" i="98"/>
  <c r="S49" i="98"/>
  <c r="P49" i="98"/>
  <c r="D35" i="91"/>
  <c r="J7" i="91" s="1"/>
  <c r="J10" i="98"/>
  <c r="L6" i="106"/>
  <c r="M6" i="106" s="1"/>
  <c r="X10" i="35"/>
  <c r="Y10" i="35"/>
  <c r="V10" i="35"/>
  <c r="W10" i="35"/>
  <c r="X9" i="35"/>
  <c r="W9" i="35"/>
  <c r="Y9" i="35"/>
  <c r="V9" i="35"/>
  <c r="Y16" i="35"/>
  <c r="W16" i="35"/>
  <c r="X16" i="35"/>
  <c r="X8" i="35"/>
  <c r="Y8" i="35"/>
  <c r="W8" i="35"/>
  <c r="V8" i="35"/>
  <c r="Y7" i="35"/>
  <c r="V7" i="35"/>
  <c r="W7" i="35"/>
  <c r="X7" i="35"/>
  <c r="V31" i="35"/>
  <c r="W31" i="35"/>
  <c r="Y31" i="35"/>
  <c r="X31" i="35"/>
  <c r="Y18" i="35"/>
  <c r="X18" i="35"/>
  <c r="W18" i="35"/>
  <c r="Y37" i="35"/>
  <c r="W37" i="35"/>
  <c r="X37" i="35"/>
  <c r="W38" i="35"/>
  <c r="X38" i="35"/>
  <c r="Y38" i="35"/>
  <c r="V30" i="35"/>
  <c r="W30" i="35"/>
  <c r="Y30" i="35"/>
  <c r="X30" i="35"/>
  <c r="X17" i="35"/>
  <c r="W17" i="35"/>
  <c r="Y17" i="35"/>
  <c r="X11" i="35"/>
  <c r="Y11" i="35"/>
  <c r="W11" i="35"/>
  <c r="V11" i="35"/>
  <c r="X39" i="35"/>
  <c r="W39" i="35"/>
  <c r="Y39" i="35"/>
  <c r="X19" i="35"/>
  <c r="Y19" i="35"/>
  <c r="W19" i="35"/>
  <c r="V27" i="35"/>
  <c r="Y27" i="35"/>
  <c r="X27" i="35"/>
  <c r="W27" i="35"/>
  <c r="Y29" i="35"/>
  <c r="V29" i="35"/>
  <c r="X29" i="35"/>
  <c r="W29" i="35"/>
  <c r="Y36" i="35"/>
  <c r="X36" i="35"/>
  <c r="W36" i="35"/>
  <c r="Y28" i="35"/>
  <c r="V28" i="35"/>
  <c r="X28" i="35"/>
  <c r="W28" i="35"/>
  <c r="Y40" i="35"/>
  <c r="X40" i="35"/>
  <c r="W40" i="35"/>
  <c r="Y20" i="35"/>
  <c r="W20" i="35"/>
  <c r="X20" i="35"/>
  <c r="S20" i="106"/>
  <c r="N6" i="106" s="1"/>
  <c r="R6" i="106" s="1"/>
  <c r="K9" i="98"/>
  <c r="Q24" i="109"/>
  <c r="J8" i="109" s="1"/>
  <c r="L31" i="81"/>
  <c r="W6" i="34"/>
  <c r="V6" i="34"/>
  <c r="W35" i="34"/>
  <c r="V35" i="34"/>
  <c r="W25" i="34"/>
  <c r="V25" i="34"/>
  <c r="S24" i="106"/>
  <c r="U24" i="106" s="1"/>
  <c r="I24" i="106"/>
  <c r="S30" i="106"/>
  <c r="W16" i="34"/>
  <c r="V16" i="34"/>
  <c r="V26" i="34"/>
  <c r="W26" i="34"/>
  <c r="K8" i="98"/>
  <c r="J8" i="98"/>
  <c r="K7" i="98"/>
  <c r="J7" i="98"/>
  <c r="S22" i="106"/>
  <c r="U22" i="106" s="1"/>
  <c r="I22" i="106"/>
  <c r="N31" i="81"/>
  <c r="I5" i="81" s="1"/>
  <c r="L37" i="81"/>
  <c r="R28" i="109"/>
  <c r="K10" i="109" s="1"/>
  <c r="J10" i="109"/>
  <c r="R26" i="109"/>
  <c r="K9" i="109" s="1"/>
  <c r="J9" i="109"/>
  <c r="S18" i="106"/>
  <c r="T18" i="106" s="1"/>
  <c r="S27" i="106"/>
  <c r="T27" i="106" s="1"/>
  <c r="L5" i="106"/>
  <c r="M5" i="106" s="1"/>
  <c r="J5" i="106"/>
  <c r="K5" i="106" s="1"/>
  <c r="R22" i="109"/>
  <c r="K7" i="109" s="1"/>
  <c r="J7" i="109"/>
  <c r="Y46" i="34"/>
  <c r="W46" i="34"/>
  <c r="X46" i="34"/>
  <c r="K11" i="98"/>
  <c r="J11" i="98"/>
  <c r="S17" i="106"/>
  <c r="T17" i="106" s="1"/>
  <c r="I17" i="106"/>
  <c r="I27" i="106"/>
  <c r="J27" i="106"/>
  <c r="X18" i="34"/>
  <c r="Y18" i="34"/>
  <c r="Y28" i="34"/>
  <c r="X28" i="34"/>
  <c r="S28" i="106"/>
  <c r="S21" i="106"/>
  <c r="T21" i="106" s="1"/>
  <c r="I21" i="106"/>
  <c r="S26" i="106"/>
  <c r="U26" i="106" s="1"/>
  <c r="I26" i="106"/>
  <c r="W15" i="34"/>
  <c r="V15" i="34"/>
  <c r="V7" i="34"/>
  <c r="W7" i="34"/>
  <c r="V34" i="34"/>
  <c r="W34" i="34"/>
  <c r="S19" i="106"/>
  <c r="T19" i="106" s="1"/>
  <c r="I19" i="106"/>
  <c r="L14" i="81"/>
  <c r="N14" i="81"/>
  <c r="H5" i="81" s="1"/>
  <c r="T29" i="106"/>
  <c r="U29" i="106"/>
  <c r="H5" i="109"/>
  <c r="I5" i="109" s="1"/>
  <c r="I18" i="106"/>
  <c r="Q20" i="109"/>
  <c r="Q18" i="109"/>
  <c r="J5" i="109" s="1"/>
  <c r="X9" i="34"/>
  <c r="Y9" i="34"/>
  <c r="X37" i="34"/>
  <c r="Y37" i="34"/>
  <c r="J28" i="106"/>
  <c r="I28" i="106"/>
  <c r="D19" i="92"/>
  <c r="D28" i="92"/>
  <c r="J6" i="92" s="1"/>
  <c r="V19" i="7"/>
  <c r="V18" i="7"/>
  <c r="X18" i="7"/>
  <c r="Y18" i="7"/>
  <c r="W19" i="7"/>
  <c r="E11" i="7"/>
  <c r="X19" i="7"/>
  <c r="Y19" i="7"/>
  <c r="Z19" i="7"/>
  <c r="J24" i="106"/>
  <c r="J19" i="106"/>
  <c r="J22" i="106"/>
  <c r="L9" i="106"/>
  <c r="M9" i="106" s="1"/>
  <c r="U25" i="106"/>
  <c r="J20" i="106"/>
  <c r="L4" i="7"/>
  <c r="U28" i="106"/>
  <c r="L7" i="106"/>
  <c r="M7" i="106" s="1"/>
  <c r="J17" i="106"/>
  <c r="J18" i="106"/>
  <c r="D17" i="92"/>
  <c r="D34" i="92"/>
  <c r="J9" i="92" s="1"/>
  <c r="AE6" i="7"/>
  <c r="L8" i="106"/>
  <c r="M8" i="106" s="1"/>
  <c r="J23" i="106"/>
  <c r="J26" i="106"/>
  <c r="U23" i="106"/>
  <c r="J25" i="106"/>
  <c r="J21" i="106"/>
  <c r="L10" i="106"/>
  <c r="M10" i="106" s="1"/>
  <c r="X16" i="7"/>
  <c r="B13" i="16"/>
  <c r="O13" i="16" s="1"/>
  <c r="U16" i="7"/>
  <c r="AE10" i="7"/>
  <c r="V16" i="7"/>
  <c r="W16" i="7"/>
  <c r="V20" i="7"/>
  <c r="W20" i="7"/>
  <c r="Y16" i="7"/>
  <c r="Z16" i="7"/>
  <c r="AE11" i="7"/>
  <c r="Z20" i="7"/>
  <c r="E13" i="7"/>
  <c r="U20" i="7"/>
  <c r="AE18" i="7"/>
  <c r="AE5" i="7"/>
  <c r="AE4" i="7"/>
  <c r="K7" i="9"/>
  <c r="T7" i="9" s="1"/>
  <c r="L9" i="7"/>
  <c r="M9" i="7"/>
  <c r="L8" i="7"/>
  <c r="M8" i="7"/>
  <c r="H18" i="7"/>
  <c r="I18" i="7" s="1"/>
  <c r="L12" i="7"/>
  <c r="M12" i="7"/>
  <c r="D39" i="91"/>
  <c r="J9" i="91" s="1"/>
  <c r="D26" i="91"/>
  <c r="K9" i="91" s="1"/>
  <c r="F11" i="7"/>
  <c r="K8" i="9"/>
  <c r="T8" i="9" s="1"/>
  <c r="J8" i="9"/>
  <c r="E8" i="7"/>
  <c r="F8" i="7"/>
  <c r="M4" i="7"/>
  <c r="E7" i="7"/>
  <c r="F7" i="7"/>
  <c r="L10" i="7"/>
  <c r="M10" i="7"/>
  <c r="E12" i="7"/>
  <c r="F12" i="7"/>
  <c r="E9" i="7"/>
  <c r="F9" i="7"/>
  <c r="E4" i="7"/>
  <c r="F4" i="7"/>
  <c r="H28" i="7"/>
  <c r="I28" i="7" s="1"/>
  <c r="L7" i="7"/>
  <c r="M7" i="7"/>
  <c r="E10" i="7"/>
  <c r="F10" i="7"/>
  <c r="L11" i="7"/>
  <c r="M11" i="7"/>
  <c r="I7" i="91" l="1"/>
  <c r="L35" i="91"/>
  <c r="M35" i="91" s="1"/>
  <c r="N35" i="91" s="1"/>
  <c r="D22" i="91"/>
  <c r="K7" i="91" s="1"/>
  <c r="U20" i="106"/>
  <c r="U21" i="106"/>
  <c r="T20" i="106"/>
  <c r="R24" i="109"/>
  <c r="K8" i="109" s="1"/>
  <c r="U19" i="106"/>
  <c r="T26" i="106"/>
  <c r="N9" i="106"/>
  <c r="T28" i="106"/>
  <c r="N10" i="106"/>
  <c r="U18" i="106"/>
  <c r="N5" i="106"/>
  <c r="T22" i="106"/>
  <c r="N7" i="106"/>
  <c r="T24" i="106"/>
  <c r="N8" i="106"/>
  <c r="U27" i="106"/>
  <c r="U17" i="106"/>
  <c r="R20" i="109"/>
  <c r="K6" i="109" s="1"/>
  <c r="J6" i="109"/>
  <c r="R18" i="109"/>
  <c r="K5" i="109" s="1"/>
  <c r="U30" i="106"/>
  <c r="T30" i="106"/>
  <c r="O6" i="106"/>
  <c r="P6" i="106"/>
  <c r="L13" i="7"/>
  <c r="H31" i="7"/>
  <c r="I31" i="7" s="1"/>
  <c r="H32" i="7"/>
  <c r="I32" i="7" s="1"/>
  <c r="G13" i="16"/>
  <c r="M5" i="7"/>
  <c r="H33" i="7"/>
  <c r="I33" i="7" s="1"/>
  <c r="H23" i="7"/>
  <c r="I23" i="7" s="1"/>
  <c r="H22" i="7"/>
  <c r="I22" i="7" s="1"/>
  <c r="H21" i="7"/>
  <c r="I21" i="7" s="1"/>
  <c r="M6" i="7"/>
  <c r="D13" i="16"/>
  <c r="H13" i="16" s="1"/>
  <c r="P13" i="16" s="1"/>
  <c r="L5" i="7"/>
  <c r="L6" i="7"/>
  <c r="M13" i="7"/>
  <c r="F6" i="7"/>
  <c r="F5" i="7"/>
  <c r="E6" i="7"/>
  <c r="E5" i="7"/>
  <c r="H20" i="7"/>
  <c r="I20" i="7" s="1"/>
  <c r="H30" i="7"/>
  <c r="I30" i="7" s="1"/>
  <c r="H19" i="7"/>
  <c r="I19" i="7" s="1"/>
  <c r="H29" i="7"/>
  <c r="I29" i="7" s="1"/>
  <c r="F13" i="7"/>
  <c r="O8" i="106" l="1"/>
  <c r="P8" i="106"/>
  <c r="R8" i="106"/>
  <c r="O5" i="106"/>
  <c r="P5" i="106"/>
  <c r="R5" i="106"/>
  <c r="P9" i="106"/>
  <c r="O9" i="106"/>
  <c r="R9" i="106"/>
  <c r="Q6" i="106"/>
  <c r="S6" i="106"/>
  <c r="O7" i="106"/>
  <c r="P7" i="106"/>
  <c r="R7" i="106"/>
  <c r="O10" i="106"/>
  <c r="P10" i="106"/>
  <c r="R10" i="106"/>
  <c r="B4" i="16"/>
  <c r="A4" i="16"/>
  <c r="Q5" i="106" l="1"/>
  <c r="S5" i="106"/>
  <c r="Q7" i="106"/>
  <c r="S7" i="106"/>
  <c r="Q9" i="106"/>
  <c r="S9" i="106"/>
  <c r="Q10" i="106"/>
  <c r="S10" i="106"/>
  <c r="Q8" i="106"/>
  <c r="S8" i="106"/>
</calcChain>
</file>

<file path=xl/comments1.xml><?xml version="1.0" encoding="utf-8"?>
<comments xmlns="http://schemas.openxmlformats.org/spreadsheetml/2006/main">
  <authors>
    <author>Loper, Joe</author>
  </authors>
  <commentList>
    <comment ref="U4" authorId="0" shapeId="0">
      <text>
        <r>
          <rPr>
            <b/>
            <sz val="16"/>
            <color indexed="81"/>
            <rFont val="Tahoma"/>
            <family val="2"/>
          </rPr>
          <t>Loper, Joe:</t>
        </r>
        <r>
          <rPr>
            <sz val="16"/>
            <color indexed="81"/>
            <rFont val="Tahoma"/>
            <family val="2"/>
          </rPr>
          <t xml:space="preserve">
These TRM V6 ER values were reported as per ton values, which was incorrect.</t>
        </r>
      </text>
    </comment>
  </commentList>
</comments>
</file>

<file path=xl/comments2.xml><?xml version="1.0" encoding="utf-8"?>
<comments xmlns="http://schemas.openxmlformats.org/spreadsheetml/2006/main">
  <authors>
    <author>Barquest, Ethan</author>
  </authors>
  <commentList>
    <comment ref="L37" authorId="0" shapeId="0">
      <text>
        <r>
          <rPr>
            <b/>
            <sz val="9"/>
            <color indexed="81"/>
            <rFont val="Tahoma"/>
            <family val="2"/>
          </rPr>
          <t>Barquest, Ethan:</t>
        </r>
        <r>
          <rPr>
            <sz val="9"/>
            <color indexed="81"/>
            <rFont val="Tahoma"/>
            <family val="2"/>
          </rPr>
          <t xml:space="preserve">
Beacuese model was deigned for EER inputs and  on or after Jan, 1, federal changes are  are the same as Tier 1 efrficenencies. Tier 1 measure costs calculated with EER are used for ER IMC to create a more accurate value </t>
        </r>
      </text>
    </comment>
  </commentList>
</comments>
</file>

<file path=xl/comments3.xml><?xml version="1.0" encoding="utf-8"?>
<comments xmlns="http://schemas.openxmlformats.org/spreadsheetml/2006/main">
  <authors>
    <author>Barquest, Ethan</author>
  </authors>
  <commentList>
    <comment ref="O15" authorId="0" shapeId="0">
      <text>
        <r>
          <rPr>
            <b/>
            <sz val="9"/>
            <color indexed="81"/>
            <rFont val="Tahoma"/>
            <family val="2"/>
          </rPr>
          <t>Barquest, Ethan:</t>
        </r>
        <r>
          <rPr>
            <sz val="9"/>
            <color indexed="81"/>
            <rFont val="Tahoma"/>
            <family val="2"/>
          </rPr>
          <t xml:space="preserve">
Kw/ton used for Hedonic Modeling, but will be rported as the equivilent EER in the TRM 
</t>
        </r>
      </text>
    </comment>
  </commentList>
</comments>
</file>

<file path=xl/comments4.xml><?xml version="1.0" encoding="utf-8"?>
<comments xmlns="http://schemas.openxmlformats.org/spreadsheetml/2006/main">
  <authors>
    <author>Lucas Scheidler</author>
    <author>Mike Ting</author>
    <author>Phillip Kelsven</author>
    <author>Dawdy, John</author>
    <author>Jeremy Eddy</author>
  </authors>
  <commentList>
    <comment ref="AA5" authorId="0" shapeId="0">
      <text>
        <r>
          <rPr>
            <b/>
            <sz val="9"/>
            <color indexed="81"/>
            <rFont val="Tahoma"/>
            <family val="2"/>
          </rPr>
          <t>Lucas Scheidler:</t>
        </r>
        <r>
          <rPr>
            <sz val="9"/>
            <color indexed="81"/>
            <rFont val="Tahoma"/>
            <family val="2"/>
          </rPr>
          <t xml:space="preserve">
=s.e.*(kWh_baseline - kWh_measure)</t>
        </r>
      </text>
    </comment>
    <comment ref="AD5"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D28" authorId="0" shapeId="0">
      <text>
        <r>
          <rPr>
            <b/>
            <sz val="9"/>
            <color indexed="81"/>
            <rFont val="Tahoma"/>
            <family val="2"/>
          </rPr>
          <t>Jeremy Eddy:</t>
        </r>
        <r>
          <rPr>
            <sz val="9"/>
            <color indexed="81"/>
            <rFont val="Tahoma"/>
            <family val="2"/>
          </rPr>
          <t xml:space="preserve">
Descriptive stats are on percentage difference between modeled and actual prices ((Modeled - Actual)/Actual)</t>
        </r>
      </text>
    </comment>
    <comment ref="AD56" authorId="0" shapeId="0">
      <text>
        <r>
          <rPr>
            <b/>
            <sz val="9"/>
            <color indexed="81"/>
            <rFont val="Tahoma"/>
            <family val="2"/>
          </rPr>
          <t>Jeremy Eddy:</t>
        </r>
        <r>
          <rPr>
            <sz val="9"/>
            <color indexed="81"/>
            <rFont val="Tahoma"/>
            <family val="2"/>
          </rPr>
          <t xml:space="preserve">
Descriptive stats are on percentage difference between modeled and actual prices ((Modeled - Actual)/Actual)</t>
        </r>
      </text>
    </comment>
    <comment ref="AD96"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V113" authorId="1" shapeId="0">
      <text>
        <r>
          <rPr>
            <b/>
            <sz val="9"/>
            <color indexed="81"/>
            <rFont val="Tahoma"/>
            <family val="2"/>
          </rPr>
          <t>Mike Ting:</t>
        </r>
        <r>
          <rPr>
            <sz val="9"/>
            <color indexed="81"/>
            <rFont val="Tahoma"/>
            <family val="2"/>
          </rPr>
          <t xml:space="preserve">
No product specs specified in DEER or WPs</t>
        </r>
      </text>
    </comment>
    <comment ref="AD113"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N113" authorId="2" shapeId="0">
      <text>
        <r>
          <rPr>
            <b/>
            <sz val="9"/>
            <color indexed="81"/>
            <rFont val="Tahoma"/>
            <family val="2"/>
          </rPr>
          <t>Phillip Kelsven:</t>
        </r>
        <r>
          <rPr>
            <sz val="9"/>
            <color indexed="81"/>
            <rFont val="Tahoma"/>
            <family val="2"/>
          </rPr>
          <t xml:space="preserve">
http://www.hvacquick.com</t>
        </r>
      </text>
    </comment>
    <comment ref="AO113" authorId="2" shapeId="0">
      <text>
        <r>
          <rPr>
            <b/>
            <sz val="9"/>
            <color indexed="81"/>
            <rFont val="Tahoma"/>
            <family val="2"/>
          </rPr>
          <t>Phillip Kelsven:</t>
        </r>
        <r>
          <rPr>
            <sz val="9"/>
            <color indexed="81"/>
            <rFont val="Tahoma"/>
            <family val="2"/>
          </rPr>
          <t xml:space="preserve">
http://www.ventmasters.com
</t>
        </r>
      </text>
    </comment>
    <comment ref="AP113" authorId="2" shapeId="0">
      <text>
        <r>
          <rPr>
            <b/>
            <sz val="9"/>
            <color indexed="81"/>
            <rFont val="Tahoma"/>
            <family val="2"/>
          </rPr>
          <t>Phillip Kelsven:</t>
        </r>
        <r>
          <rPr>
            <sz val="9"/>
            <color indexed="81"/>
            <rFont val="Tahoma"/>
            <family val="2"/>
          </rPr>
          <t xml:space="preserve">
http://wholehousefanman.com</t>
        </r>
      </text>
    </comment>
    <comment ref="AI114" authorId="2" shapeId="0">
      <text>
        <r>
          <rPr>
            <b/>
            <sz val="9"/>
            <color indexed="81"/>
            <rFont val="Tahoma"/>
            <family val="2"/>
          </rPr>
          <t>Phillip Kelsven:</t>
        </r>
        <r>
          <rPr>
            <sz val="9"/>
            <color indexed="81"/>
            <rFont val="Tahoma"/>
            <family val="2"/>
          </rPr>
          <t xml:space="preserve">
http://www.amazon.com
</t>
        </r>
      </text>
    </comment>
    <comment ref="AJ114" authorId="2" shapeId="0">
      <text>
        <r>
          <rPr>
            <b/>
            <sz val="9"/>
            <color indexed="81"/>
            <rFont val="Tahoma"/>
            <family val="2"/>
          </rPr>
          <t>Phillip Kelsven:</t>
        </r>
        <r>
          <rPr>
            <sz val="9"/>
            <color indexed="81"/>
            <rFont val="Tahoma"/>
            <family val="2"/>
          </rPr>
          <t xml:space="preserve">
http://www.rewci.com
</t>
        </r>
      </text>
    </comment>
    <comment ref="AK114" authorId="2" shapeId="0">
      <text>
        <r>
          <rPr>
            <b/>
            <sz val="9"/>
            <color indexed="81"/>
            <rFont val="Tahoma"/>
            <family val="2"/>
          </rPr>
          <t>Phillip Kelsven:</t>
        </r>
        <r>
          <rPr>
            <sz val="9"/>
            <color indexed="81"/>
            <rFont val="Tahoma"/>
            <family val="2"/>
          </rPr>
          <t xml:space="preserve">
http://www.wholehousefansdirect.com
</t>
        </r>
      </text>
    </comment>
    <comment ref="AL114" authorId="2" shapeId="0">
      <text>
        <r>
          <rPr>
            <b/>
            <sz val="9"/>
            <color indexed="81"/>
            <rFont val="Tahoma"/>
            <family val="2"/>
          </rPr>
          <t>Phillip Kelsven:</t>
        </r>
        <r>
          <rPr>
            <sz val="9"/>
            <color indexed="81"/>
            <rFont val="Tahoma"/>
            <family val="2"/>
          </rPr>
          <t xml:space="preserve">
http://www.homeperfect.com
</t>
        </r>
      </text>
    </comment>
    <comment ref="AM116" authorId="2" shapeId="0">
      <text>
        <r>
          <rPr>
            <b/>
            <sz val="9"/>
            <color indexed="81"/>
            <rFont val="Tahoma"/>
            <family val="2"/>
          </rPr>
          <t>Phillip Kelsven:</t>
        </r>
        <r>
          <rPr>
            <sz val="9"/>
            <color indexed="81"/>
            <rFont val="Tahoma"/>
            <family val="2"/>
          </rPr>
          <t xml:space="preserve">
http://www.h-mac.com</t>
        </r>
      </text>
    </comment>
    <comment ref="T122" authorId="1" shapeId="0">
      <text>
        <r>
          <rPr>
            <b/>
            <sz val="9"/>
            <color indexed="81"/>
            <rFont val="Tahoma"/>
            <family val="2"/>
          </rPr>
          <t>Mike Ting:</t>
        </r>
        <r>
          <rPr>
            <sz val="9"/>
            <color indexed="81"/>
            <rFont val="Tahoma"/>
            <family val="2"/>
          </rPr>
          <t xml:space="preserve">
placeholder value; DEG still developing markup estimate</t>
        </r>
      </text>
    </comment>
    <comment ref="AM123" authorId="0" shapeId="0">
      <text>
        <r>
          <rPr>
            <b/>
            <sz val="9"/>
            <color indexed="81"/>
            <rFont val="Tahoma"/>
            <family val="2"/>
          </rPr>
          <t>Lucas Scheidler:</t>
        </r>
        <r>
          <rPr>
            <sz val="9"/>
            <color indexed="81"/>
            <rFont val="Tahoma"/>
            <family val="2"/>
          </rPr>
          <t xml:space="preserve">
http://heatingandairwholesale.com</t>
        </r>
      </text>
    </comment>
    <comment ref="AN123" authorId="0" shapeId="0">
      <text>
        <r>
          <rPr>
            <b/>
            <sz val="9"/>
            <color indexed="81"/>
            <rFont val="Tahoma"/>
            <family val="2"/>
          </rPr>
          <t>Lucas Scheidler:</t>
        </r>
        <r>
          <rPr>
            <sz val="9"/>
            <color indexed="81"/>
            <rFont val="Tahoma"/>
            <family val="2"/>
          </rPr>
          <t xml:space="preserve">
http://www.theacoutlet.com</t>
        </r>
      </text>
    </comment>
    <comment ref="AO123" authorId="0" shapeId="0">
      <text>
        <r>
          <rPr>
            <b/>
            <sz val="9"/>
            <color indexed="81"/>
            <rFont val="Tahoma"/>
            <family val="2"/>
          </rPr>
          <t>Lucas Scheidler:</t>
        </r>
        <r>
          <rPr>
            <sz val="9"/>
            <color indexed="81"/>
            <rFont val="Tahoma"/>
            <family val="2"/>
          </rPr>
          <t xml:space="preserve">
http://www.routeac.com</t>
        </r>
      </text>
    </comment>
    <comment ref="AP123" authorId="0" shapeId="0">
      <text>
        <r>
          <rPr>
            <b/>
            <sz val="9"/>
            <color indexed="81"/>
            <rFont val="Tahoma"/>
            <family val="2"/>
          </rPr>
          <t>Lucas Scheidler:</t>
        </r>
        <r>
          <rPr>
            <sz val="9"/>
            <color indexed="81"/>
            <rFont val="Tahoma"/>
            <family val="2"/>
          </rPr>
          <t xml:space="preserve">
http://www.ecoairandwater.com</t>
        </r>
      </text>
    </comment>
    <comment ref="AQ123" authorId="0" shapeId="0">
      <text>
        <r>
          <rPr>
            <b/>
            <sz val="9"/>
            <color indexed="81"/>
            <rFont val="Tahoma"/>
            <family val="2"/>
          </rPr>
          <t>Lucas Scheidler:</t>
        </r>
        <r>
          <rPr>
            <sz val="9"/>
            <color indexed="81"/>
            <rFont val="Tahoma"/>
            <family val="2"/>
          </rPr>
          <t xml:space="preserve">
https://www.acwholesalers.com</t>
        </r>
      </text>
    </comment>
    <comment ref="AR123" authorId="0" shapeId="0">
      <text>
        <r>
          <rPr>
            <b/>
            <sz val="9"/>
            <color indexed="81"/>
            <rFont val="Tahoma"/>
            <family val="2"/>
          </rPr>
          <t>Lucas Scheidler:</t>
        </r>
        <r>
          <rPr>
            <sz val="9"/>
            <color indexed="81"/>
            <rFont val="Tahoma"/>
            <family val="2"/>
          </rPr>
          <t xml:space="preserve">
http://welcomehvac.com</t>
        </r>
      </text>
    </comment>
    <comment ref="AS123" authorId="0" shapeId="0">
      <text>
        <r>
          <rPr>
            <b/>
            <sz val="9"/>
            <color indexed="81"/>
            <rFont val="Tahoma"/>
            <family val="2"/>
          </rPr>
          <t>Lucas Scheidler:</t>
        </r>
        <r>
          <rPr>
            <sz val="9"/>
            <color indexed="81"/>
            <rFont val="Tahoma"/>
            <family val="2"/>
          </rPr>
          <t xml:space="preserve">
http://acunitsdirect.com</t>
        </r>
      </text>
    </comment>
    <comment ref="AT123" authorId="0" shapeId="0">
      <text>
        <r>
          <rPr>
            <b/>
            <sz val="9"/>
            <color indexed="81"/>
            <rFont val="Tahoma"/>
            <family val="2"/>
          </rPr>
          <t>Lucas Scheidler:</t>
        </r>
        <r>
          <rPr>
            <sz val="9"/>
            <color indexed="81"/>
            <rFont val="Tahoma"/>
            <family val="2"/>
          </rPr>
          <t xml:space="preserve">
http://shortyshvac.com</t>
        </r>
      </text>
    </comment>
    <comment ref="AD124"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24" authorId="0" shapeId="0">
      <text>
        <r>
          <rPr>
            <b/>
            <sz val="9"/>
            <color indexed="81"/>
            <rFont val="Tahoma"/>
            <family val="2"/>
          </rPr>
          <t>Lucas Scheidler:</t>
        </r>
        <r>
          <rPr>
            <sz val="9"/>
            <color indexed="81"/>
            <rFont val="Tahoma"/>
            <family val="2"/>
          </rPr>
          <t xml:space="preserve">
http://www.alpinehomeair.com/viewproduct.cfm?productID=453064740
Goodman GDS80603AX</t>
        </r>
      </text>
    </comment>
    <comment ref="AJ124" authorId="0" shapeId="0">
      <text>
        <r>
          <rPr>
            <b/>
            <sz val="9"/>
            <color indexed="81"/>
            <rFont val="Tahoma"/>
            <family val="2"/>
          </rPr>
          <t>Lucas Scheidler:</t>
        </r>
        <r>
          <rPr>
            <sz val="9"/>
            <color indexed="81"/>
            <rFont val="Tahoma"/>
            <family val="2"/>
          </rPr>
          <t xml:space="preserve">
http://ecomfort.com/gds80603ax-multi-speed-gas-furnace-downflow-low-nox-80-afue-60000-btu-37134.html</t>
        </r>
      </text>
    </comment>
    <comment ref="AU124" authorId="0" shapeId="0">
      <text>
        <r>
          <rPr>
            <b/>
            <sz val="9"/>
            <color indexed="81"/>
            <rFont val="Tahoma"/>
            <family val="2"/>
          </rPr>
          <t>Lucas Scheidler:</t>
        </r>
        <r>
          <rPr>
            <sz val="9"/>
            <color indexed="81"/>
            <rFont val="Tahoma"/>
            <family val="2"/>
          </rPr>
          <t xml:space="preserve">
http://shop.thefurnaceoutlet.com/60000-BTU-80-Downflow-Furnace-GDS80603AX.htm</t>
        </r>
      </text>
    </comment>
    <comment ref="AZ124" authorId="0" shapeId="0">
      <text>
        <r>
          <rPr>
            <b/>
            <sz val="9"/>
            <color indexed="81"/>
            <rFont val="Tahoma"/>
            <family val="2"/>
          </rPr>
          <t>Lucas Scheidler:</t>
        </r>
        <r>
          <rPr>
            <sz val="9"/>
            <color indexed="81"/>
            <rFont val="Tahoma"/>
            <family val="2"/>
          </rPr>
          <t xml:space="preserve">
http://www.aclinesets.com/products/gds80603ax-80-afue-multi-speed-downflow-gas-furnace-60-000-btu-low-nox</t>
        </r>
      </text>
    </comment>
    <comment ref="AM125" authorId="0" shapeId="0">
      <text>
        <r>
          <rPr>
            <b/>
            <sz val="9"/>
            <color indexed="81"/>
            <rFont val="Tahoma"/>
            <family val="2"/>
          </rPr>
          <t>Lucas Scheidler:</t>
        </r>
        <r>
          <rPr>
            <sz val="9"/>
            <color indexed="81"/>
            <rFont val="Tahoma"/>
            <family val="2"/>
          </rPr>
          <t xml:space="preserve">
http://heatingandairwholesale.com/payne-90-afue-gas-furnace-60000-btu-psc-motor-2/</t>
        </r>
      </text>
    </comment>
    <comment ref="AO125" authorId="0" shapeId="0">
      <text>
        <r>
          <rPr>
            <b/>
            <sz val="9"/>
            <color indexed="81"/>
            <rFont val="Tahoma"/>
            <family val="2"/>
          </rPr>
          <t>Lucas Scheidler:</t>
        </r>
        <r>
          <rPr>
            <sz val="9"/>
            <color indexed="81"/>
            <rFont val="Tahoma"/>
            <family val="2"/>
          </rPr>
          <t xml:space="preserve">
http://www.routeac.com/payne-2-ton-gas-furnace-90-afue-60k-btu-multipoise.html</t>
        </r>
      </text>
    </comment>
    <comment ref="AS125" authorId="0" shapeId="0">
      <text>
        <r>
          <rPr>
            <b/>
            <sz val="9"/>
            <color indexed="81"/>
            <rFont val="Tahoma"/>
            <family val="2"/>
          </rPr>
          <t>Lucas Scheidler:</t>
        </r>
        <r>
          <rPr>
            <sz val="9"/>
            <color indexed="81"/>
            <rFont val="Tahoma"/>
            <family val="2"/>
          </rPr>
          <t xml:space="preserve">
http://acunitsdirect.com/pg9mab024060-payne-upflow-downflow-horizontal-2-to-2-5-ton-multipoise-60k-btu-90-afue-gas-furnace.html</t>
        </r>
      </text>
    </comment>
    <comment ref="BA125" authorId="0" shapeId="0">
      <text>
        <r>
          <rPr>
            <b/>
            <sz val="9"/>
            <color indexed="81"/>
            <rFont val="Tahoma"/>
            <family val="2"/>
          </rPr>
          <t>Lucas Scheidler:</t>
        </r>
        <r>
          <rPr>
            <sz val="9"/>
            <color indexed="81"/>
            <rFont val="Tahoma"/>
            <family val="2"/>
          </rPr>
          <t xml:space="preserve">
http://www.ductlessairunit.com/pg9mab024060-payne-upflow-downflow-horizontal-2-to-2.5-ton-multipoise-60k-btu-90-afue-gas-furnace.html</t>
        </r>
      </text>
    </comment>
    <comment ref="AK126" authorId="3" shapeId="0">
      <text>
        <r>
          <rPr>
            <b/>
            <sz val="9"/>
            <color indexed="81"/>
            <rFont val="Tahoma"/>
            <family val="2"/>
          </rPr>
          <t>Dawdy, John:</t>
        </r>
        <r>
          <rPr>
            <sz val="9"/>
            <color indexed="81"/>
            <rFont val="Tahoma"/>
            <family val="2"/>
          </rPr>
          <t xml:space="preserve">
http://ingramswaterandair.com/goodman-furnace-gmh80903bna-upflow-p-17145.html</t>
        </r>
      </text>
    </comment>
    <comment ref="AM126" authorId="3" shapeId="0">
      <text>
        <r>
          <rPr>
            <b/>
            <sz val="9"/>
            <color indexed="81"/>
            <rFont val="Tahoma"/>
            <family val="2"/>
          </rPr>
          <t>Dawdy, John:</t>
        </r>
        <r>
          <rPr>
            <sz val="9"/>
            <color indexed="81"/>
            <rFont val="Tahoma"/>
            <family val="2"/>
          </rPr>
          <t xml:space="preserve">
http://heatingandairwholesale.com/hvac-direct-gas-furnace-gmh80903bna-80-90k-btu-upflow/</t>
        </r>
      </text>
    </comment>
    <comment ref="AP126" authorId="3" shapeId="0">
      <text>
        <r>
          <rPr>
            <b/>
            <sz val="9"/>
            <color indexed="81"/>
            <rFont val="Tahoma"/>
            <family val="2"/>
          </rPr>
          <t>Dawdy, John:</t>
        </r>
        <r>
          <rPr>
            <sz val="9"/>
            <color indexed="81"/>
            <rFont val="Tahoma"/>
            <family val="2"/>
          </rPr>
          <t xml:space="preserve">
http://www.ecoairandwater.com/store/90000-btu-gmh80903bna-80-efficiency-2-stage-3-ton-multi-speed-goodman-upflow-or-horizontal-flow-furnace.html</t>
        </r>
      </text>
    </comment>
    <comment ref="BB126" authorId="3" shapeId="0">
      <text>
        <r>
          <rPr>
            <b/>
            <sz val="9"/>
            <color indexed="81"/>
            <rFont val="Tahoma"/>
            <family val="2"/>
          </rPr>
          <t>Dawdy, John:</t>
        </r>
        <r>
          <rPr>
            <sz val="9"/>
            <color indexed="81"/>
            <rFont val="Tahoma"/>
            <family val="2"/>
          </rPr>
          <t xml:space="preserve">
http://www.alloysafe.com/index.php/heating-air-conditioning/gas-furnaces/80-afue-gas-furnace/goodman-gas-furnace-gmh80903bna-80-90k-btu-upflow.html</t>
        </r>
      </text>
    </comment>
    <comment ref="AJ127" authorId="0" shapeId="0">
      <text>
        <r>
          <rPr>
            <b/>
            <sz val="9"/>
            <color indexed="81"/>
            <rFont val="Tahoma"/>
            <family val="2"/>
          </rPr>
          <t>Lucas Scheidler:</t>
        </r>
        <r>
          <rPr>
            <sz val="9"/>
            <color indexed="81"/>
            <rFont val="Tahoma"/>
            <family val="2"/>
          </rPr>
          <t xml:space="preserve">
http://ecomfort.com/gks90904cx-multi-speed-gas-furnace-upflow-low-nox-921-afue-92000-btu-37076.html</t>
        </r>
      </text>
    </comment>
    <comment ref="AL127" authorId="0" shapeId="0">
      <text>
        <r>
          <rPr>
            <b/>
            <sz val="9"/>
            <color indexed="81"/>
            <rFont val="Tahoma"/>
            <family val="2"/>
          </rPr>
          <t>Lucas Scheidler:</t>
        </r>
        <r>
          <rPr>
            <sz val="9"/>
            <color indexed="81"/>
            <rFont val="Tahoma"/>
            <family val="2"/>
          </rPr>
          <t xml:space="preserve">
http://www.pexsupply.com/Goodman-GKS90904CX-Goodman-90000-BTU-921-Efficiency-Single-Stage-Burner-Multi-Speed-Blower-Upflow-Application-Gas-Furnace-12595000-p</t>
        </r>
      </text>
    </comment>
    <comment ref="AN127" authorId="0" shapeId="0">
      <text>
        <r>
          <rPr>
            <b/>
            <sz val="9"/>
            <color indexed="81"/>
            <rFont val="Tahoma"/>
            <family val="2"/>
          </rPr>
          <t>Lucas Scheidler:</t>
        </r>
        <r>
          <rPr>
            <sz val="9"/>
            <color indexed="81"/>
            <rFont val="Tahoma"/>
            <family val="2"/>
          </rPr>
          <t xml:space="preserve">
http://www.theacoutlet.com/GKS90904CX-90000-Btu-92-Percent-Afue-Goodman-Gas-Furnace.htm?gclid=CNj1saeDg7gCFaN7Qgodg3UACw</t>
        </r>
      </text>
    </comment>
    <comment ref="AV127" authorId="0" shapeId="0">
      <text>
        <r>
          <rPr>
            <b/>
            <sz val="9"/>
            <color indexed="81"/>
            <rFont val="Tahoma"/>
            <family val="2"/>
          </rPr>
          <t>Lucas Scheidler:</t>
        </r>
        <r>
          <rPr>
            <sz val="9"/>
            <color indexed="81"/>
            <rFont val="Tahoma"/>
            <family val="2"/>
          </rPr>
          <t xml:space="preserve">
http://www.greendroplet.com/goodman-gks90904cx-gas-furnace-upflow-horizontal-single-stage-burner-93-90-000-btu.html</t>
        </r>
      </text>
    </comment>
    <comment ref="Q128" authorId="0" shapeId="0">
      <text>
        <r>
          <rPr>
            <b/>
            <sz val="9"/>
            <color indexed="81"/>
            <rFont val="Tahoma"/>
            <family val="2"/>
          </rPr>
          <t>Lucas Scheidler:</t>
        </r>
        <r>
          <rPr>
            <sz val="9"/>
            <color indexed="81"/>
            <rFont val="Tahoma"/>
            <family val="2"/>
          </rPr>
          <t xml:space="preserve">
These weights are from 2006 - 2012 CLASS. Weights are the following: Bryant 13.39%, Day&amp;*Night 1.46%, Goodman 6.05% and Ruud 5.13%. Only weights for day and night and goodman were applied, as these were the only  brands in the model that had a significant/marginally significant coefficient.</t>
        </r>
      </text>
    </comment>
    <comment ref="AI128" authorId="3" shapeId="0">
      <text>
        <r>
          <rPr>
            <b/>
            <sz val="9"/>
            <color indexed="81"/>
            <rFont val="Tahoma"/>
            <family val="2"/>
          </rPr>
          <t>Dawdy, John:</t>
        </r>
        <r>
          <rPr>
            <sz val="9"/>
            <color indexed="81"/>
            <rFont val="Tahoma"/>
            <family val="2"/>
          </rPr>
          <t xml:space="preserve">
http://www.alpinehomeair.com/viewproduct.cfm?productID=453064684</t>
        </r>
      </text>
    </comment>
    <comment ref="AJ128" authorId="3" shapeId="0">
      <text>
        <r>
          <rPr>
            <b/>
            <sz val="9"/>
            <color indexed="81"/>
            <rFont val="Tahoma"/>
            <family val="2"/>
          </rPr>
          <t>Dawdy, John:</t>
        </r>
        <r>
          <rPr>
            <sz val="9"/>
            <color indexed="81"/>
            <rFont val="Tahoma"/>
            <family val="2"/>
          </rPr>
          <t xml:space="preserve">
http://ecomfort.com/gmh81205dn-2-stage-multi-speed-gas-furnace-upflow-horizontal-high-air-flow-80-afue-120000-btu-37107.html</t>
        </r>
      </text>
    </comment>
    <comment ref="AK128" authorId="3" shapeId="0">
      <text>
        <r>
          <rPr>
            <b/>
            <sz val="9"/>
            <color indexed="81"/>
            <rFont val="Tahoma"/>
            <family val="2"/>
          </rPr>
          <t>Dawdy, John:</t>
        </r>
        <r>
          <rPr>
            <sz val="9"/>
            <color indexed="81"/>
            <rFont val="Tahoma"/>
            <family val="2"/>
          </rPr>
          <t xml:space="preserve">
http://ingramswaterandair.com/goodman-furnace-gmh81205dn-afue-120k-upflowhorizontal-stage-multispeed-p-18563.html</t>
        </r>
      </text>
    </comment>
    <comment ref="BC128" authorId="3" shapeId="0">
      <text>
        <r>
          <rPr>
            <b/>
            <sz val="9"/>
            <color indexed="81"/>
            <rFont val="Tahoma"/>
            <family val="2"/>
          </rPr>
          <t>Dawdy, John:</t>
        </r>
        <r>
          <rPr>
            <sz val="9"/>
            <color indexed="81"/>
            <rFont val="Tahoma"/>
            <family val="2"/>
          </rPr>
          <t xml:space="preserve">
http://www.godirectappliance.com/ac-heat/gas-furnaces/goodman-120-000-btu-80-multi-position-gas-furnace-gmh81205dn.html</t>
        </r>
      </text>
    </comment>
    <comment ref="AK129" authorId="3" shapeId="0">
      <text>
        <r>
          <rPr>
            <b/>
            <sz val="9"/>
            <color indexed="81"/>
            <rFont val="Tahoma"/>
            <family val="2"/>
          </rPr>
          <t>Dawdy, John:</t>
        </r>
        <r>
          <rPr>
            <sz val="9"/>
            <color indexed="81"/>
            <rFont val="Tahoma"/>
            <family val="2"/>
          </rPr>
          <t xml:space="preserve">
http://ingramswaterandair.com/rheem-furnaces-120k-afue-upflow-p-16375.html</t>
        </r>
      </text>
    </comment>
    <comment ref="AQ129" authorId="3" shapeId="0">
      <text>
        <r>
          <rPr>
            <b/>
            <sz val="9"/>
            <color indexed="81"/>
            <rFont val="Tahoma"/>
            <family val="2"/>
          </rPr>
          <t>Dawdy, John:</t>
        </r>
        <r>
          <rPr>
            <sz val="9"/>
            <color indexed="81"/>
            <rFont val="Tahoma"/>
            <family val="2"/>
          </rPr>
          <t xml:space="preserve">
https://www.acwholesalers.com/Rheem/RGRA12ERAJS-93-5-AFUE-120000-BTU-Upflow-Gas-Furnace-Classic-Series/19956.ac?gclid=CPTej736hLgCFUlxQgod0BcARw</t>
        </r>
      </text>
    </comment>
    <comment ref="AW129" authorId="3" shapeId="0">
      <text>
        <r>
          <rPr>
            <b/>
            <sz val="9"/>
            <color indexed="81"/>
            <rFont val="Tahoma"/>
            <family val="2"/>
          </rPr>
          <t>Dawdy, John:</t>
        </r>
        <r>
          <rPr>
            <sz val="9"/>
            <color indexed="81"/>
            <rFont val="Tahoma"/>
            <family val="2"/>
          </rPr>
          <t xml:space="preserve">
https://www.expresshvac.com/res_components/gas_furnace/hvac_rheem.asp</t>
        </r>
      </text>
    </comment>
    <comment ref="BD129" authorId="3" shapeId="0">
      <text>
        <r>
          <rPr>
            <b/>
            <sz val="9"/>
            <color indexed="81"/>
            <rFont val="Tahoma"/>
            <family val="2"/>
          </rPr>
          <t>Dawdy, John:</t>
        </r>
        <r>
          <rPr>
            <sz val="9"/>
            <color indexed="81"/>
            <rFont val="Tahoma"/>
            <family val="2"/>
          </rPr>
          <t xml:space="preserve">
http://www.nationalairwarehouse.com/gas-systems/furnaces/rheem-93-5-afue-120-000-btu-upflow-gas-furnace.html</t>
        </r>
      </text>
    </comment>
    <comment ref="AK130" authorId="3" shapeId="0">
      <text>
        <r>
          <rPr>
            <b/>
            <sz val="9"/>
            <color indexed="81"/>
            <rFont val="Tahoma"/>
            <family val="2"/>
          </rPr>
          <t>Dawdy, John:</t>
        </r>
        <r>
          <rPr>
            <sz val="9"/>
            <color indexed="81"/>
            <rFont val="Tahoma"/>
            <family val="2"/>
          </rPr>
          <t xml:space="preserve">
http://ingramswaterandair.com/payne-afue-furnace-deluxe-multipoise-88000-motor-p-18263.html</t>
        </r>
      </text>
    </comment>
    <comment ref="AO130" authorId="3" shapeId="0">
      <text>
        <r>
          <rPr>
            <b/>
            <sz val="9"/>
            <color indexed="81"/>
            <rFont val="Tahoma"/>
            <family val="2"/>
          </rPr>
          <t>Dawdy, John:</t>
        </r>
        <r>
          <rPr>
            <sz val="9"/>
            <color indexed="81"/>
            <rFont val="Tahoma"/>
            <family val="2"/>
          </rPr>
          <t xml:space="preserve">
http://www.routeac.com/payne-3.5-ton-gas-furnace-80-afue-88k-btu-multipoise.html</t>
        </r>
      </text>
    </comment>
    <comment ref="AR130" authorId="3" shapeId="0">
      <text>
        <r>
          <rPr>
            <b/>
            <sz val="9"/>
            <color indexed="81"/>
            <rFont val="Tahoma"/>
            <family val="2"/>
          </rPr>
          <t>Dawdy, John:</t>
        </r>
        <r>
          <rPr>
            <sz val="9"/>
            <color indexed="81"/>
            <rFont val="Tahoma"/>
            <family val="2"/>
          </rPr>
          <t xml:space="preserve">
http://welcomehvac.com/shop/article_PG8MAA042090/Payne-Upflow_Downflow_Horizontal-3-1_2-Ton-Multi-Positional-90K-BTU-80%25-AFUE-Gas-Furnace.html?sessid=15rWwz6oRD6EbsKslzgJMrWfw7YWg4e5Oj0QSiI8caB0Et4ZAGWPEE00qcOPwnwn&amp;shop_param=cid%3D255%26aid%3DPG8MAA042090%26</t>
        </r>
      </text>
    </comment>
    <comment ref="AT130" authorId="3" shapeId="0">
      <text>
        <r>
          <rPr>
            <b/>
            <sz val="9"/>
            <color indexed="81"/>
            <rFont val="Tahoma"/>
            <family val="2"/>
          </rPr>
          <t>Dawdy, John:</t>
        </r>
        <r>
          <rPr>
            <sz val="9"/>
            <color indexed="81"/>
            <rFont val="Tahoma"/>
            <family val="2"/>
          </rPr>
          <t xml:space="preserve">
http://shortyshvac.com/index.php?main_page=product_info&amp;products_id=202</t>
        </r>
      </text>
    </comment>
    <comment ref="AI131" authorId="0" shapeId="0">
      <text>
        <r>
          <rPr>
            <b/>
            <sz val="9"/>
            <color indexed="81"/>
            <rFont val="Tahoma"/>
            <family val="2"/>
          </rPr>
          <t>Lucas Scheidler:</t>
        </r>
        <r>
          <rPr>
            <sz val="9"/>
            <color indexed="81"/>
            <rFont val="Tahoma"/>
            <family val="2"/>
          </rPr>
          <t xml:space="preserve">
http://www.alpinehomeair.com/viewproduct.cfm?productID=453063474</t>
        </r>
      </text>
    </comment>
    <comment ref="AJ131" authorId="0" shapeId="0">
      <text>
        <r>
          <rPr>
            <b/>
            <sz val="9"/>
            <color indexed="81"/>
            <rFont val="Tahoma"/>
            <family val="2"/>
          </rPr>
          <t>Lucas Scheidler:</t>
        </r>
        <r>
          <rPr>
            <sz val="9"/>
            <color indexed="81"/>
            <rFont val="Tahoma"/>
            <family val="2"/>
          </rPr>
          <t xml:space="preserve">
http://ecomfort.com/gcvc950915dx-2-stage-variable-speed-gas-furnace-comfortnet-controls-downflow-horizontal-low-nox-95-afue-92000-btu-37054.html</t>
        </r>
      </text>
    </comment>
    <comment ref="AX131" authorId="0" shapeId="0">
      <text>
        <r>
          <rPr>
            <b/>
            <sz val="9"/>
            <color indexed="81"/>
            <rFont val="Tahoma"/>
            <family val="2"/>
          </rPr>
          <t>Lucas Scheidler:</t>
        </r>
        <r>
          <rPr>
            <sz val="9"/>
            <color indexed="81"/>
            <rFont val="Tahoma"/>
            <family val="2"/>
          </rPr>
          <t xml:space="preserve">
http://www.amanadealer.com/product.sc?productId=279</t>
        </r>
      </text>
    </comment>
    <comment ref="BE131" authorId="0" shapeId="0">
      <text>
        <r>
          <rPr>
            <b/>
            <sz val="9"/>
            <color indexed="81"/>
            <rFont val="Tahoma"/>
            <family val="2"/>
          </rPr>
          <t>Lucas Scheidler:</t>
        </r>
        <r>
          <rPr>
            <sz val="9"/>
            <color indexed="81"/>
            <rFont val="Tahoma"/>
            <family val="2"/>
          </rPr>
          <t xml:space="preserve">
http://libertywholesalesupply.com/goodman-gcvc950915dx-92-000-btu-gas-furnace-95-efficient-two-stage-burner-down-flow-direct-drive-variable-speed-ecm-blower.html</t>
        </r>
      </text>
    </comment>
    <comment ref="AI132" authorId="3" shapeId="0">
      <text>
        <r>
          <rPr>
            <b/>
            <sz val="9"/>
            <color indexed="81"/>
            <rFont val="Tahoma"/>
            <family val="2"/>
          </rPr>
          <t>Dawdy, John:</t>
        </r>
        <r>
          <rPr>
            <sz val="9"/>
            <color indexed="81"/>
            <rFont val="Tahoma"/>
            <family val="2"/>
          </rPr>
          <t xml:space="preserve">
http://www.alpinehomeair.com/viewproduct.cfm?productID=453064683</t>
        </r>
      </text>
    </comment>
    <comment ref="AL132" authorId="3" shapeId="0">
      <text>
        <r>
          <rPr>
            <b/>
            <sz val="9"/>
            <color indexed="81"/>
            <rFont val="Tahoma"/>
            <family val="2"/>
          </rPr>
          <t>Dawdy, John:</t>
        </r>
        <r>
          <rPr>
            <sz val="9"/>
            <color indexed="81"/>
            <rFont val="Tahoma"/>
            <family val="2"/>
          </rPr>
          <t xml:space="preserve">
http://www.pexsupply.com/Goodman-GMH81005CN-Goodman-100000-BTU-80-Efficiency-Two-Stage-Burner-Multi-Speed-Blower-Upflow-Horizontal-Application-Gas-Furnace</t>
        </r>
      </text>
    </comment>
    <comment ref="AM132" authorId="3" shapeId="0">
      <text>
        <r>
          <rPr>
            <b/>
            <sz val="9"/>
            <color indexed="81"/>
            <rFont val="Tahoma"/>
            <family val="2"/>
          </rPr>
          <t>Dawdy, John:</t>
        </r>
        <r>
          <rPr>
            <sz val="9"/>
            <color indexed="81"/>
            <rFont val="Tahoma"/>
            <family val="2"/>
          </rPr>
          <t xml:space="preserve">
http://heatingandairwholesale.com/goodman-gas-furnace-gmh81005cn-80-afue-100k-btu-upflowhorizontal-2-stage-multi-speed-gas/</t>
        </r>
      </text>
    </comment>
    <comment ref="BF132" authorId="3" shapeId="0">
      <text>
        <r>
          <rPr>
            <b/>
            <sz val="9"/>
            <color indexed="81"/>
            <rFont val="Tahoma"/>
            <family val="2"/>
          </rPr>
          <t>Dawdy, John:</t>
        </r>
        <r>
          <rPr>
            <sz val="9"/>
            <color indexed="81"/>
            <rFont val="Tahoma"/>
            <family val="2"/>
          </rPr>
          <t xml:space="preserve">
http://www.budgetheating.com/80-Single-Stage-100K-BTU-Gas-Furnace-up-to-5-Ton-p/90004.htm</t>
        </r>
      </text>
    </comment>
    <comment ref="AJ133" authorId="3" shapeId="0">
      <text>
        <r>
          <rPr>
            <b/>
            <sz val="9"/>
            <color indexed="81"/>
            <rFont val="Tahoma"/>
            <family val="2"/>
          </rPr>
          <t>Dawdy, John:</t>
        </r>
        <r>
          <rPr>
            <sz val="9"/>
            <color indexed="81"/>
            <rFont val="Tahoma"/>
            <family val="2"/>
          </rPr>
          <t xml:space="preserve">
http://ecomfort.com/amvm961005dx-dual-stage-variable-speed-gas-furnace-96-100000-btu-40627.html</t>
        </r>
      </text>
    </comment>
    <comment ref="AN133" authorId="3" shapeId="0">
      <text>
        <r>
          <rPr>
            <b/>
            <sz val="9"/>
            <color indexed="81"/>
            <rFont val="Tahoma"/>
            <family val="2"/>
          </rPr>
          <t>Dawdy, John:</t>
        </r>
        <r>
          <rPr>
            <sz val="9"/>
            <color indexed="81"/>
            <rFont val="Tahoma"/>
            <family val="2"/>
          </rPr>
          <t xml:space="preserve">
https://www.theacoutlet.com/AMVM961005DX-100000-Btu-96-Percent-Afue-Amana-Modulating-Gas-Furnace.htm</t>
        </r>
      </text>
    </comment>
    <comment ref="AY133" authorId="3" shapeId="0">
      <text>
        <r>
          <rPr>
            <b/>
            <sz val="9"/>
            <color indexed="81"/>
            <rFont val="Tahoma"/>
            <family val="2"/>
          </rPr>
          <t>Dawdy, John:</t>
        </r>
        <r>
          <rPr>
            <sz val="9"/>
            <color indexed="81"/>
            <rFont val="Tahoma"/>
            <family val="2"/>
          </rPr>
          <t xml:space="preserve">
http://acforsale.com/index.php?dispatch=products.view&amp;product_id=29929</t>
        </r>
      </text>
    </comment>
    <comment ref="BG133" authorId="3" shapeId="0">
      <text>
        <r>
          <rPr>
            <b/>
            <sz val="9"/>
            <color indexed="81"/>
            <rFont val="Tahoma"/>
            <family val="2"/>
          </rPr>
          <t>Dawdy, John:</t>
        </r>
        <r>
          <rPr>
            <sz val="9"/>
            <color indexed="81"/>
            <rFont val="Tahoma"/>
            <family val="2"/>
          </rPr>
          <t xml:space="preserve">
http://www.djsonline.com/amana_amvm96furnaces.htm</t>
        </r>
      </text>
    </comment>
    <comment ref="AI136" authorId="0" shapeId="0">
      <text>
        <r>
          <rPr>
            <b/>
            <sz val="9"/>
            <color indexed="81"/>
            <rFont val="Tahoma"/>
            <family val="2"/>
          </rPr>
          <t>Lucas Scheidler:</t>
        </r>
        <r>
          <rPr>
            <sz val="9"/>
            <color indexed="81"/>
            <rFont val="Tahoma"/>
            <family val="2"/>
          </rPr>
          <t xml:space="preserve">
EMCOR artificial bid</t>
        </r>
      </text>
    </comment>
    <comment ref="AJ136" authorId="0" shapeId="0">
      <text>
        <r>
          <rPr>
            <b/>
            <sz val="9"/>
            <color indexed="81"/>
            <rFont val="Tahoma"/>
            <family val="2"/>
          </rPr>
          <t>Lucas Scheidler:</t>
        </r>
        <r>
          <rPr>
            <sz val="9"/>
            <color indexed="81"/>
            <rFont val="Tahoma"/>
            <family val="2"/>
          </rPr>
          <t xml:space="preserve">
DEER 2001 Update average of 3 ton, 12 SEER and 3 ton, 13 SEER</t>
        </r>
      </text>
    </comment>
    <comment ref="AK137" authorId="0" shapeId="0">
      <text>
        <r>
          <rPr>
            <b/>
            <sz val="9"/>
            <color indexed="81"/>
            <rFont val="Tahoma"/>
            <family val="2"/>
          </rPr>
          <t>Lucas Scheidler:</t>
        </r>
        <r>
          <rPr>
            <sz val="9"/>
            <color indexed="81"/>
            <rFont val="Tahoma"/>
            <family val="2"/>
          </rPr>
          <t xml:space="preserve">
DEER 2008
13 SEER(11.07 EER)/8.1 HSPF(3.28 COP) A/C Heat pump (Code Case)
</t>
        </r>
      </text>
    </comment>
    <comment ref="Q138" authorId="0" shapeId="0">
      <text>
        <r>
          <rPr>
            <b/>
            <sz val="9"/>
            <color indexed="81"/>
            <rFont val="Tahoma"/>
            <family val="2"/>
          </rPr>
          <t>Lucas Scheidler:</t>
        </r>
        <r>
          <rPr>
            <sz val="9"/>
            <color indexed="81"/>
            <rFont val="Tahoma"/>
            <family val="2"/>
          </rPr>
          <t xml:space="preserve">
These weights are from CMST. These four brands made up 43% of total record counts in CMST. Cross checking with CSS provided similar weighting.</t>
        </r>
      </text>
    </comment>
    <comment ref="AK138" authorId="0" shapeId="0">
      <text>
        <r>
          <rPr>
            <b/>
            <sz val="9"/>
            <color indexed="81"/>
            <rFont val="Tahoma"/>
            <family val="2"/>
          </rPr>
          <t>Lucas Scheidler:</t>
        </r>
        <r>
          <rPr>
            <sz val="9"/>
            <color indexed="81"/>
            <rFont val="Tahoma"/>
            <family val="2"/>
          </rPr>
          <t xml:space="preserve">
DEER 2008
14 SEER(12.19 EER)/8.6 HSPF(3.52 COP) A/C Heat Pump</t>
        </r>
      </text>
    </comment>
    <comment ref="AL138" authorId="0" shapeId="0">
      <text>
        <r>
          <rPr>
            <b/>
            <sz val="9"/>
            <color indexed="81"/>
            <rFont val="Tahoma"/>
            <family val="2"/>
          </rPr>
          <t>Lucas Scheidler:</t>
        </r>
        <r>
          <rPr>
            <sz val="9"/>
            <color indexed="81"/>
            <rFont val="Tahoma"/>
            <family val="2"/>
          </rPr>
          <t xml:space="preserve">
Workpaper SCE13HC019.0 for 14 SEER (12.19EER) HP - referencing 2005 DEER
</t>
        </r>
      </text>
    </comment>
    <comment ref="AK139" authorId="0" shapeId="0">
      <text>
        <r>
          <rPr>
            <b/>
            <sz val="9"/>
            <color indexed="81"/>
            <rFont val="Tahoma"/>
            <family val="2"/>
          </rPr>
          <t>Lucas Scheidler:</t>
        </r>
        <r>
          <rPr>
            <sz val="9"/>
            <color indexed="81"/>
            <rFont val="Tahoma"/>
            <family val="2"/>
          </rPr>
          <t xml:space="preserve">
DEER2008
15 SEER(12.70 EER)/8.8 HSPF(3.74 COP) A/C Heat Pump</t>
        </r>
      </text>
    </comment>
    <comment ref="AL139" authorId="0" shapeId="0">
      <text>
        <r>
          <rPr>
            <b/>
            <sz val="9"/>
            <color indexed="81"/>
            <rFont val="Tahoma"/>
            <family val="2"/>
          </rPr>
          <t>Lucas Scheidler:</t>
        </r>
        <r>
          <rPr>
            <sz val="9"/>
            <color indexed="81"/>
            <rFont val="Tahoma"/>
            <family val="2"/>
          </rPr>
          <t xml:space="preserve">
Workpaper SCE13HC019.0 for 15 SEER (12.5 EER) HP - extrapolating from 2005 DEER</t>
        </r>
      </text>
    </comment>
    <comment ref="AK140" authorId="0" shapeId="0">
      <text>
        <r>
          <rPr>
            <b/>
            <sz val="9"/>
            <color indexed="81"/>
            <rFont val="Tahoma"/>
            <family val="2"/>
          </rPr>
          <t>Lucas Scheidler:</t>
        </r>
        <r>
          <rPr>
            <sz val="9"/>
            <color indexed="81"/>
            <rFont val="Tahoma"/>
            <family val="2"/>
          </rPr>
          <t xml:space="preserve">
DEER2008
16 SEER (12.06 EER) / 8.4 HSPF (3.48 COP) A/C Heat Pump</t>
        </r>
      </text>
    </comment>
    <comment ref="B142" authorId="0" shapeId="0">
      <text>
        <r>
          <rPr>
            <b/>
            <sz val="9"/>
            <color indexed="81"/>
            <rFont val="Tahoma"/>
            <family val="2"/>
          </rPr>
          <t>Lucas Scheidler:</t>
        </r>
        <r>
          <rPr>
            <sz val="9"/>
            <color indexed="81"/>
            <rFont val="Tahoma"/>
            <family val="2"/>
          </rPr>
          <t xml:space="preserve">
HSPF and EER,are colinear with  SEER. Heating capacity is also colinear with cooling capacity.</t>
        </r>
      </text>
    </comment>
    <comment ref="T145" authorId="0" shapeId="0">
      <text>
        <r>
          <rPr>
            <b/>
            <sz val="9"/>
            <color indexed="81"/>
            <rFont val="Tahoma"/>
            <family val="2"/>
          </rPr>
          <t>Lucas Scheidler:</t>
        </r>
        <r>
          <rPr>
            <sz val="9"/>
            <color indexed="81"/>
            <rFont val="Tahoma"/>
            <family val="2"/>
          </rPr>
          <t xml:space="preserve">
contractor markup estimate  from EMCOR</t>
        </r>
      </text>
    </comment>
    <comment ref="AI155" authorId="0" shapeId="0">
      <text>
        <r>
          <rPr>
            <b/>
            <sz val="9"/>
            <color indexed="81"/>
            <rFont val="Tahoma"/>
            <family val="2"/>
          </rPr>
          <t>Lucas Scheidler:</t>
        </r>
        <r>
          <rPr>
            <sz val="9"/>
            <color indexed="81"/>
            <rFont val="Tahoma"/>
            <family val="2"/>
          </rPr>
          <t xml:space="preserve">
EMCOR artificial bid</t>
        </r>
      </text>
    </comment>
    <comment ref="AJ155" authorId="0" shapeId="0">
      <text>
        <r>
          <rPr>
            <b/>
            <sz val="9"/>
            <color indexed="81"/>
            <rFont val="Tahoma"/>
            <family val="2"/>
          </rPr>
          <t>Lucas Scheidler:</t>
        </r>
        <r>
          <rPr>
            <sz val="9"/>
            <color indexed="81"/>
            <rFont val="Tahoma"/>
            <family val="2"/>
          </rPr>
          <t xml:space="preserve">
DEER 2001 Update average of 3 ton, 12 SEER and 3 ton, 13 SEER</t>
        </r>
      </text>
    </comment>
    <comment ref="AJ156" authorId="0" shapeId="0">
      <text>
        <r>
          <rPr>
            <b/>
            <sz val="9"/>
            <color indexed="81"/>
            <rFont val="Tahoma"/>
            <family val="2"/>
          </rPr>
          <t>Lucas Scheidler:</t>
        </r>
        <r>
          <rPr>
            <sz val="9"/>
            <color indexed="81"/>
            <rFont val="Tahoma"/>
            <family val="2"/>
          </rPr>
          <t xml:space="preserve">
DEER2001 update 3 ton, 13 SEER</t>
        </r>
      </text>
    </comment>
    <comment ref="AK156" authorId="0" shapeId="0">
      <text>
        <r>
          <rPr>
            <b/>
            <sz val="9"/>
            <color indexed="81"/>
            <rFont val="Tahoma"/>
            <family val="2"/>
          </rPr>
          <t>Lucas Scheidler:</t>
        </r>
        <r>
          <rPr>
            <sz val="9"/>
            <color indexed="81"/>
            <rFont val="Tahoma"/>
            <family val="2"/>
          </rPr>
          <t xml:space="preserve">
DEER2008 
3 ton 13 SEER(11.09 EER) Split System Air Conditioner (Code Case)</t>
        </r>
      </text>
    </comment>
    <comment ref="AJ157" authorId="0" shapeId="0">
      <text>
        <r>
          <rPr>
            <b/>
            <sz val="9"/>
            <color indexed="81"/>
            <rFont val="Tahoma"/>
            <family val="2"/>
          </rPr>
          <t>Lucas Scheidler:</t>
        </r>
        <r>
          <rPr>
            <sz val="9"/>
            <color indexed="81"/>
            <rFont val="Tahoma"/>
            <family val="2"/>
          </rPr>
          <t xml:space="preserve">
DEER2001 update 3 ton, 14+ SEER</t>
        </r>
      </text>
    </comment>
    <comment ref="AK157" authorId="0" shapeId="0">
      <text>
        <r>
          <rPr>
            <b/>
            <sz val="9"/>
            <color indexed="81"/>
            <rFont val="Tahoma"/>
            <family val="2"/>
          </rPr>
          <t>Lucas Scheidler:</t>
        </r>
        <r>
          <rPr>
            <sz val="9"/>
            <color indexed="81"/>
            <rFont val="Tahoma"/>
            <family val="2"/>
          </rPr>
          <t xml:space="preserve">
DEER2008 
3 ton 14 SEER(12.15 EER) Split-System Air Conditioner</t>
        </r>
      </text>
    </comment>
    <comment ref="AK158" authorId="0" shapeId="0">
      <text>
        <r>
          <rPr>
            <b/>
            <sz val="9"/>
            <color indexed="81"/>
            <rFont val="Tahoma"/>
            <family val="2"/>
          </rPr>
          <t>Lucas Scheidler:</t>
        </r>
        <r>
          <rPr>
            <sz val="9"/>
            <color indexed="81"/>
            <rFont val="Tahoma"/>
            <family val="2"/>
          </rPr>
          <t xml:space="preserve">
DEER2008 
3 ton 15 SEER(12.72 EER) Split-System Air Conditioner</t>
        </r>
      </text>
    </comment>
    <comment ref="AK159" authorId="0" shapeId="0">
      <text>
        <r>
          <rPr>
            <b/>
            <sz val="9"/>
            <color indexed="81"/>
            <rFont val="Tahoma"/>
            <family val="2"/>
          </rPr>
          <t>Lucas Scheidler:</t>
        </r>
        <r>
          <rPr>
            <sz val="9"/>
            <color indexed="81"/>
            <rFont val="Tahoma"/>
            <family val="2"/>
          </rPr>
          <t xml:space="preserve">
DEER2008 
3 ton 16 SEER (11.61 EER) Split System Air Conditioner</t>
        </r>
      </text>
    </comment>
    <comment ref="AK160" authorId="0" shapeId="0">
      <text>
        <r>
          <rPr>
            <b/>
            <sz val="9"/>
            <color indexed="81"/>
            <rFont val="Tahoma"/>
            <family val="2"/>
          </rPr>
          <t>Lucas Scheidler:</t>
        </r>
        <r>
          <rPr>
            <sz val="9"/>
            <color indexed="81"/>
            <rFont val="Tahoma"/>
            <family val="2"/>
          </rPr>
          <t xml:space="preserve">
DEER2008 
3 ton, 17 SEER (12.28 EER) Split-System Air Conditioner
</t>
        </r>
      </text>
    </comment>
    <comment ref="AK161" authorId="0" shapeId="0">
      <text>
        <r>
          <rPr>
            <b/>
            <sz val="9"/>
            <color indexed="81"/>
            <rFont val="Tahoma"/>
            <family val="2"/>
          </rPr>
          <t>Lucas Scheidler:</t>
        </r>
        <r>
          <rPr>
            <sz val="9"/>
            <color indexed="81"/>
            <rFont val="Tahoma"/>
            <family val="2"/>
          </rPr>
          <t xml:space="preserve">
DEER2008 
3 ton 18 SEER (13.37 EER) Split-System Air Conditioner</t>
        </r>
      </text>
    </comment>
    <comment ref="AK162" authorId="0" shapeId="0">
      <text>
        <r>
          <rPr>
            <b/>
            <sz val="9"/>
            <color indexed="81"/>
            <rFont val="Tahoma"/>
            <family val="2"/>
          </rPr>
          <t>Lucas Scheidler:</t>
        </r>
        <r>
          <rPr>
            <sz val="9"/>
            <color indexed="81"/>
            <rFont val="Tahoma"/>
            <family val="2"/>
          </rPr>
          <t xml:space="preserve">
DEER2008 
3 ton 19 SEER Split-System Air Conditioner</t>
        </r>
      </text>
    </comment>
    <comment ref="AK163" authorId="0" shapeId="0">
      <text>
        <r>
          <rPr>
            <b/>
            <sz val="9"/>
            <color indexed="81"/>
            <rFont val="Tahoma"/>
            <family val="2"/>
          </rPr>
          <t>Lucas Scheidler:</t>
        </r>
        <r>
          <rPr>
            <sz val="9"/>
            <color indexed="81"/>
            <rFont val="Tahoma"/>
            <family val="2"/>
          </rPr>
          <t xml:space="preserve">
DEER2008 
3 ton 20 SEER Split-System Air Conditioner</t>
        </r>
      </text>
    </comment>
    <comment ref="T164" authorId="0" shapeId="0">
      <text>
        <r>
          <rPr>
            <b/>
            <sz val="9"/>
            <color indexed="81"/>
            <rFont val="Tahoma"/>
            <family val="2"/>
          </rPr>
          <t>Lucas Scheidler:</t>
        </r>
        <r>
          <rPr>
            <sz val="9"/>
            <color indexed="81"/>
            <rFont val="Tahoma"/>
            <family val="2"/>
          </rPr>
          <t xml:space="preserve">
contractor markup estimate  from EMCOR</t>
        </r>
      </text>
    </comment>
    <comment ref="AK164" authorId="0" shapeId="0">
      <text>
        <r>
          <rPr>
            <b/>
            <sz val="9"/>
            <color indexed="81"/>
            <rFont val="Tahoma"/>
            <family val="2"/>
          </rPr>
          <t>Lucas Scheidler:</t>
        </r>
        <r>
          <rPr>
            <sz val="9"/>
            <color indexed="81"/>
            <rFont val="Tahoma"/>
            <family val="2"/>
          </rPr>
          <t xml:space="preserve">
DEER2008 
3 ton 21 SEER Split-System Air Conditioner</t>
        </r>
      </text>
    </comment>
    <comment ref="AD174"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74" authorId="0" shapeId="0">
      <text>
        <r>
          <rPr>
            <b/>
            <sz val="9"/>
            <color indexed="81"/>
            <rFont val="Tahoma"/>
            <family val="2"/>
          </rPr>
          <t>Lucas Scheidler:</t>
        </r>
        <r>
          <rPr>
            <sz val="9"/>
            <color indexed="81"/>
            <rFont val="Tahoma"/>
            <family val="2"/>
          </rPr>
          <t xml:space="preserve">
Workpaper SCE13HC028.0 - average of online distributors</t>
        </r>
      </text>
    </comment>
    <comment ref="AJ174" authorId="0" shapeId="0">
      <text>
        <r>
          <rPr>
            <b/>
            <sz val="9"/>
            <color indexed="81"/>
            <rFont val="Tahoma"/>
            <family val="2"/>
          </rPr>
          <t>Lucas Scheidler:</t>
        </r>
        <r>
          <rPr>
            <sz val="9"/>
            <color indexed="81"/>
            <rFont val="Tahoma"/>
            <family val="2"/>
          </rPr>
          <t xml:space="preserve">
http://www.pexsupply.com/Rheem-51-102500-01-1-2-HP-1075-RPM-4-Speed-Motor-120V</t>
        </r>
      </text>
    </comment>
    <comment ref="AK174" authorId="0" shapeId="0">
      <text>
        <r>
          <rPr>
            <b/>
            <sz val="9"/>
            <color indexed="81"/>
            <rFont val="Tahoma"/>
            <family val="2"/>
          </rPr>
          <t>Lucas Scheidler:</t>
        </r>
        <r>
          <rPr>
            <sz val="9"/>
            <color indexed="81"/>
            <rFont val="Tahoma"/>
            <family val="2"/>
          </rPr>
          <t xml:space="preserve">
http://www.pexsupply.com/Rheem-51-22858-01-1-2-HP-1075-RPM-3-Speed-Motor-120V</t>
        </r>
      </text>
    </comment>
    <comment ref="AL174" authorId="0" shapeId="0">
      <text>
        <r>
          <rPr>
            <b/>
            <sz val="9"/>
            <color indexed="81"/>
            <rFont val="Tahoma"/>
            <family val="2"/>
          </rPr>
          <t>Lucas Scheidler:</t>
        </r>
        <r>
          <rPr>
            <sz val="9"/>
            <color indexed="81"/>
            <rFont val="Tahoma"/>
            <family val="2"/>
          </rPr>
          <t xml:space="preserve">
http://www.pexsupply.com/Rheem-51-23102-08-1-2-HP-825-RPM-Motor-208-230V</t>
        </r>
      </text>
    </comment>
    <comment ref="AM174" authorId="0" shapeId="0">
      <text>
        <r>
          <rPr>
            <b/>
            <sz val="9"/>
            <color indexed="81"/>
            <rFont val="Tahoma"/>
            <family val="2"/>
          </rPr>
          <t>Lucas Scheidler:</t>
        </r>
        <r>
          <rPr>
            <sz val="9"/>
            <color indexed="81"/>
            <rFont val="Tahoma"/>
            <family val="2"/>
          </rPr>
          <t xml:space="preserve">
http://www.pexsupply.com/Rheem-51-23609-04-1-2-HP-1075-RPM-CCW-Motor-208-230V</t>
        </r>
      </text>
    </comment>
    <comment ref="AN174" authorId="0" shapeId="0">
      <text>
        <r>
          <rPr>
            <b/>
            <sz val="9"/>
            <color indexed="81"/>
            <rFont val="Tahoma"/>
            <family val="2"/>
          </rPr>
          <t>Lucas Scheidler:</t>
        </r>
        <r>
          <rPr>
            <sz val="9"/>
            <color indexed="81"/>
            <rFont val="Tahoma"/>
            <family val="2"/>
          </rPr>
          <t xml:space="preserve">
http://www.pexsupply.com/Rheem-51-23679-01-1-2-HP-1075-RPM-Motor-208-230V</t>
        </r>
      </text>
    </comment>
    <comment ref="AO174" authorId="0" shapeId="0">
      <text>
        <r>
          <rPr>
            <b/>
            <sz val="9"/>
            <color indexed="81"/>
            <rFont val="Tahoma"/>
            <family val="2"/>
          </rPr>
          <t>Lucas Scheidler:</t>
        </r>
        <r>
          <rPr>
            <sz val="9"/>
            <color indexed="81"/>
            <rFont val="Tahoma"/>
            <family val="2"/>
          </rPr>
          <t xml:space="preserve">
http://www.grainger.com/Grainger/DAYTON-Direct-Drive-Blower-Motor-3M714?Pid=search</t>
        </r>
      </text>
    </comment>
    <comment ref="AI175" authorId="0" shapeId="0">
      <text>
        <r>
          <rPr>
            <b/>
            <sz val="9"/>
            <color indexed="81"/>
            <rFont val="Tahoma"/>
            <family val="2"/>
          </rPr>
          <t>Lucas Scheidler:</t>
        </r>
        <r>
          <rPr>
            <sz val="9"/>
            <color indexed="81"/>
            <rFont val="Tahoma"/>
            <family val="2"/>
          </rPr>
          <t xml:space="preserve">
Workpaper SCE13HC028.0 -  provided by one distributor for EFI Concept 3 brushless fan motor. </t>
        </r>
      </text>
    </comment>
    <comment ref="AJ175" authorId="0" shapeId="0">
      <text>
        <r>
          <rPr>
            <b/>
            <sz val="9"/>
            <color indexed="81"/>
            <rFont val="Tahoma"/>
            <family val="2"/>
          </rPr>
          <t>Lucas Scheidler:</t>
        </r>
        <r>
          <rPr>
            <sz val="9"/>
            <color indexed="81"/>
            <rFont val="Tahoma"/>
            <family val="2"/>
          </rPr>
          <t xml:space="preserve">
http://www.pexsupply.com/Rheem-51-24374-05-1-2-HP-Variable-Speed-ECM-Motor</t>
        </r>
      </text>
    </comment>
    <comment ref="AK175" authorId="0" shapeId="0">
      <text>
        <r>
          <rPr>
            <b/>
            <sz val="9"/>
            <color indexed="81"/>
            <rFont val="Tahoma"/>
            <family val="2"/>
          </rPr>
          <t>Lucas Scheidler:</t>
        </r>
        <r>
          <rPr>
            <sz val="9"/>
            <color indexed="81"/>
            <rFont val="Tahoma"/>
            <family val="2"/>
          </rPr>
          <t xml:space="preserve">
http://www.northamericahvac.com/servlet/the-9279/OEM-GE-Carrier-Bryant/Detail?gclid=CPat_qzSsLoCFco9Qgod9w0AKw</t>
        </r>
      </text>
    </comment>
    <comment ref="AL175" authorId="0" shapeId="0">
      <text>
        <r>
          <rPr>
            <b/>
            <sz val="9"/>
            <color indexed="81"/>
            <rFont val="Tahoma"/>
            <family val="2"/>
          </rPr>
          <t>Lucas Scheidler:</t>
        </r>
        <r>
          <rPr>
            <sz val="9"/>
            <color indexed="81"/>
            <rFont val="Tahoma"/>
            <family val="2"/>
          </rPr>
          <t xml:space="preserve">
http://www.grainger.com/Grainger/DAYTON-ECM-DirectDrive-Motor-43Y137?Pid=search</t>
        </r>
      </text>
    </comment>
    <comment ref="AD189"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89" authorId="1" shapeId="0">
      <text>
        <r>
          <rPr>
            <b/>
            <sz val="9"/>
            <color indexed="81"/>
            <rFont val="Tahoma"/>
            <family val="2"/>
          </rPr>
          <t>Mike Ting:</t>
        </r>
        <r>
          <rPr>
            <sz val="9"/>
            <color indexed="81"/>
            <rFont val="Tahoma"/>
            <family val="2"/>
          </rPr>
          <t xml:space="preserve">
http://www.procureline.net</t>
        </r>
      </text>
    </comment>
    <comment ref="AJ189" authorId="1" shapeId="0">
      <text>
        <r>
          <rPr>
            <b/>
            <sz val="9"/>
            <color indexed="81"/>
            <rFont val="Tahoma"/>
            <family val="2"/>
          </rPr>
          <t>Mike Ting:</t>
        </r>
        <r>
          <rPr>
            <sz val="9"/>
            <color indexed="81"/>
            <rFont val="Tahoma"/>
            <family val="2"/>
          </rPr>
          <t xml:space="preserve">
http://www.partsguy.com</t>
        </r>
      </text>
    </comment>
    <comment ref="AK189" authorId="1" shapeId="0">
      <text>
        <r>
          <rPr>
            <b/>
            <sz val="9"/>
            <color indexed="81"/>
            <rFont val="Tahoma"/>
            <family val="2"/>
          </rPr>
          <t>Mike Ting:</t>
        </r>
        <r>
          <rPr>
            <sz val="9"/>
            <color indexed="81"/>
            <rFont val="Tahoma"/>
            <family val="2"/>
          </rPr>
          <t xml:space="preserve">
http://www.galco.com</t>
        </r>
      </text>
    </comment>
    <comment ref="AL189" authorId="1" shapeId="0">
      <text>
        <r>
          <rPr>
            <b/>
            <sz val="9"/>
            <color indexed="81"/>
            <rFont val="Tahoma"/>
            <family val="2"/>
          </rPr>
          <t>Mike Ting:</t>
        </r>
        <r>
          <rPr>
            <sz val="9"/>
            <color indexed="81"/>
            <rFont val="Tahoma"/>
            <family val="2"/>
          </rPr>
          <t xml:space="preserve">
http://www.apexcontrols.com</t>
        </r>
      </text>
    </comment>
    <comment ref="AA190" authorId="1" shapeId="0">
      <text>
        <r>
          <rPr>
            <b/>
            <sz val="9"/>
            <color indexed="81"/>
            <rFont val="Tahoma"/>
            <family val="2"/>
          </rPr>
          <t>Mike Ting:</t>
        </r>
        <r>
          <rPr>
            <sz val="9"/>
            <color indexed="81"/>
            <rFont val="Tahoma"/>
            <family val="2"/>
          </rPr>
          <t xml:space="preserve">
= (MAE/sample mean) * predicted measure cost</t>
        </r>
      </text>
    </comment>
    <comment ref="T198" authorId="1" shapeId="0">
      <text>
        <r>
          <rPr>
            <b/>
            <sz val="9"/>
            <color indexed="81"/>
            <rFont val="Tahoma"/>
            <family val="2"/>
          </rPr>
          <t>Mike Ting:</t>
        </r>
        <r>
          <rPr>
            <sz val="9"/>
            <color indexed="81"/>
            <rFont val="Tahoma"/>
            <family val="2"/>
          </rPr>
          <t xml:space="preserve">
placeholder value; EMCOR still developing markup estimate</t>
        </r>
      </text>
    </comment>
    <comment ref="AI200" authorId="1" shapeId="0">
      <text>
        <r>
          <rPr>
            <b/>
            <sz val="9"/>
            <color indexed="81"/>
            <rFont val="Tahoma"/>
            <family val="2"/>
          </rPr>
          <t>Mike Ting:</t>
        </r>
        <r>
          <rPr>
            <sz val="9"/>
            <color indexed="81"/>
            <rFont val="Tahoma"/>
            <family val="2"/>
          </rPr>
          <t xml:space="preserve">
http://www.procureline.net</t>
        </r>
      </text>
    </comment>
    <comment ref="AJ200" authorId="1" shapeId="0">
      <text>
        <r>
          <rPr>
            <b/>
            <sz val="9"/>
            <color indexed="81"/>
            <rFont val="Tahoma"/>
            <family val="2"/>
          </rPr>
          <t>Mike Ting:</t>
        </r>
        <r>
          <rPr>
            <sz val="9"/>
            <color indexed="81"/>
            <rFont val="Tahoma"/>
            <family val="2"/>
          </rPr>
          <t xml:space="preserve">
http://www.partsguy.com</t>
        </r>
      </text>
    </comment>
    <comment ref="AK200" authorId="1" shapeId="0">
      <text>
        <r>
          <rPr>
            <b/>
            <sz val="9"/>
            <color indexed="81"/>
            <rFont val="Tahoma"/>
            <family val="2"/>
          </rPr>
          <t>Mike Ting:</t>
        </r>
        <r>
          <rPr>
            <sz val="9"/>
            <color indexed="81"/>
            <rFont val="Tahoma"/>
            <family val="2"/>
          </rPr>
          <t xml:space="preserve">
http://www.galco.com</t>
        </r>
      </text>
    </comment>
    <comment ref="AL200" authorId="1" shapeId="0">
      <text>
        <r>
          <rPr>
            <b/>
            <sz val="9"/>
            <color indexed="81"/>
            <rFont val="Tahoma"/>
            <family val="2"/>
          </rPr>
          <t>Mike Ting:</t>
        </r>
        <r>
          <rPr>
            <sz val="9"/>
            <color indexed="81"/>
            <rFont val="Tahoma"/>
            <family val="2"/>
          </rPr>
          <t xml:space="preserve">
http://www.apexcontrols.com</t>
        </r>
      </text>
    </comment>
    <comment ref="AA201" authorId="1" shapeId="0">
      <text>
        <r>
          <rPr>
            <b/>
            <sz val="9"/>
            <color indexed="81"/>
            <rFont val="Tahoma"/>
            <family val="2"/>
          </rPr>
          <t>Mike Ting:</t>
        </r>
        <r>
          <rPr>
            <sz val="9"/>
            <color indexed="81"/>
            <rFont val="Tahoma"/>
            <family val="2"/>
          </rPr>
          <t xml:space="preserve">
= (MAE/sample mean) * predicted measure cost</t>
        </r>
      </text>
    </comment>
    <comment ref="T209" authorId="1" shapeId="0">
      <text>
        <r>
          <rPr>
            <b/>
            <sz val="9"/>
            <color indexed="81"/>
            <rFont val="Tahoma"/>
            <family val="2"/>
          </rPr>
          <t>Mike Ting:</t>
        </r>
        <r>
          <rPr>
            <sz val="9"/>
            <color indexed="81"/>
            <rFont val="Tahoma"/>
            <family val="2"/>
          </rPr>
          <t xml:space="preserve">
placeholder value; EMCOR still developing markup estimate</t>
        </r>
      </text>
    </comment>
    <comment ref="AI211" authorId="0" shapeId="0">
      <text>
        <r>
          <rPr>
            <b/>
            <sz val="9"/>
            <color indexed="81"/>
            <rFont val="Tahoma"/>
            <family val="2"/>
          </rPr>
          <t>Lucas Scheidler:</t>
        </r>
        <r>
          <rPr>
            <sz val="9"/>
            <color indexed="81"/>
            <rFont val="Tahoma"/>
            <family val="2"/>
          </rPr>
          <t xml:space="preserve">
DEER 2001 Update 2 ton 13 SEER</t>
        </r>
      </text>
    </comment>
    <comment ref="AJ211" authorId="0" shapeId="0">
      <text>
        <r>
          <rPr>
            <b/>
            <sz val="9"/>
            <color indexed="81"/>
            <rFont val="Tahoma"/>
            <family val="2"/>
          </rPr>
          <t>Lucas Scheidler:</t>
        </r>
        <r>
          <rPr>
            <sz val="9"/>
            <color indexed="81"/>
            <rFont val="Tahoma"/>
            <family val="2"/>
          </rPr>
          <t xml:space="preserve">
DEER 2008 average of single and three phase package A/C 13 SEER $/ton 
airAC-Pkg-lt65kBtuh1phs-13p0seer
airAC-Pkg-lt65kBtuh3phs-13p0seer</t>
        </r>
      </text>
    </comment>
    <comment ref="AK211" authorId="0" shapeId="0">
      <text>
        <r>
          <rPr>
            <b/>
            <sz val="9"/>
            <color indexed="81"/>
            <rFont val="Tahoma"/>
            <family val="2"/>
          </rPr>
          <t>Lucas Scheidler:</t>
        </r>
        <r>
          <rPr>
            <sz val="9"/>
            <color indexed="81"/>
            <rFont val="Tahoma"/>
            <family val="2"/>
          </rPr>
          <t xml:space="preserve">
RS Means Online for 2 ton unit. No efficiency information given.</t>
        </r>
      </text>
    </comment>
    <comment ref="AL211" authorId="0" shapeId="0">
      <text>
        <r>
          <rPr>
            <b/>
            <sz val="9"/>
            <color indexed="81"/>
            <rFont val="Tahoma"/>
            <family val="2"/>
          </rPr>
          <t>Lucas Scheidler:</t>
        </r>
        <r>
          <rPr>
            <sz val="9"/>
            <color indexed="81"/>
            <rFont val="Tahoma"/>
            <family val="2"/>
          </rPr>
          <t xml:space="preserve">
DEER 2005  13 SEER packaged ac $/ton
</t>
        </r>
      </text>
    </comment>
    <comment ref="X212" authorId="0" shapeId="0">
      <text>
        <r>
          <rPr>
            <b/>
            <sz val="9"/>
            <color indexed="81"/>
            <rFont val="Tahoma"/>
            <family val="2"/>
          </rPr>
          <t>Lucas Scheidler:</t>
        </r>
        <r>
          <rPr>
            <sz val="9"/>
            <color indexed="81"/>
            <rFont val="Tahoma"/>
            <family val="2"/>
          </rPr>
          <t xml:space="preserve">
Modified SEER for this measure from 13 to 14 based on a conversation with Kevin Madison on 7/30/13</t>
        </r>
      </text>
    </comment>
    <comment ref="AG212" authorId="0" shapeId="0">
      <text>
        <r>
          <rPr>
            <b/>
            <sz val="9"/>
            <color indexed="81"/>
            <rFont val="Tahoma"/>
            <family val="2"/>
          </rPr>
          <t>Lucas Scheidler:</t>
        </r>
        <r>
          <rPr>
            <sz val="9"/>
            <color indexed="81"/>
            <rFont val="Tahoma"/>
            <family val="2"/>
          </rPr>
          <t xml:space="preserve">
Modified SEER for this measure from 13 to 14 based on a conversation with Kevin Madison on 7/30/13</t>
        </r>
      </text>
    </comment>
    <comment ref="AI212" authorId="0" shapeId="0">
      <text>
        <r>
          <rPr>
            <b/>
            <sz val="9"/>
            <color indexed="81"/>
            <rFont val="Tahoma"/>
            <family val="2"/>
          </rPr>
          <t>Lucas Scheidler:</t>
        </r>
        <r>
          <rPr>
            <sz val="9"/>
            <color indexed="81"/>
            <rFont val="Tahoma"/>
            <family val="2"/>
          </rPr>
          <t xml:space="preserve">
DEER 2001 Update 2 ton 14+ SEER</t>
        </r>
      </text>
    </comment>
    <comment ref="AJ212" authorId="0" shapeId="0">
      <text>
        <r>
          <rPr>
            <b/>
            <sz val="9"/>
            <color indexed="81"/>
            <rFont val="Tahoma"/>
            <family val="2"/>
          </rPr>
          <t>Lucas Scheidler:</t>
        </r>
        <r>
          <rPr>
            <sz val="9"/>
            <color indexed="81"/>
            <rFont val="Tahoma"/>
            <family val="2"/>
          </rPr>
          <t xml:space="preserve">
DEER 2008 14 SEER package AC 
airAC-Pkg-lt65kBtuh1phs-14p0seer</t>
        </r>
      </text>
    </comment>
    <comment ref="AL212" authorId="0" shapeId="0">
      <text>
        <r>
          <rPr>
            <b/>
            <sz val="9"/>
            <color indexed="81"/>
            <rFont val="Tahoma"/>
            <family val="2"/>
          </rPr>
          <t>Lucas Scheidler:</t>
        </r>
        <r>
          <rPr>
            <sz val="9"/>
            <color indexed="81"/>
            <rFont val="Tahoma"/>
            <family val="2"/>
          </rPr>
          <t xml:space="preserve">
DEER 2005 14 SEER $/ton</t>
        </r>
      </text>
    </comment>
    <comment ref="AI213" authorId="0" shapeId="0">
      <text>
        <r>
          <rPr>
            <b/>
            <sz val="9"/>
            <color indexed="81"/>
            <rFont val="Tahoma"/>
            <family val="2"/>
          </rPr>
          <t>Lucas Scheidler:</t>
        </r>
        <r>
          <rPr>
            <sz val="9"/>
            <color indexed="81"/>
            <rFont val="Tahoma"/>
            <family val="2"/>
          </rPr>
          <t xml:space="preserve">
DEER 2001 Update 5 ton 13 SEER</t>
        </r>
      </text>
    </comment>
    <comment ref="AJ213" authorId="0" shapeId="0">
      <text>
        <r>
          <rPr>
            <b/>
            <sz val="9"/>
            <color indexed="81"/>
            <rFont val="Tahoma"/>
            <family val="2"/>
          </rPr>
          <t>Lucas Scheidler:</t>
        </r>
        <r>
          <rPr>
            <sz val="9"/>
            <color indexed="81"/>
            <rFont val="Tahoma"/>
            <family val="2"/>
          </rPr>
          <t xml:space="preserve">
DEER 2008 average of single and three phase package A/C 13 SEER $/ton 
airAC-Pkg-lt65kBtuh1phs-13p0seer
airAC-Pkg-lt65kBtuh3phs-13p0seer</t>
        </r>
      </text>
    </comment>
    <comment ref="AK213" authorId="0" shapeId="0">
      <text>
        <r>
          <rPr>
            <b/>
            <sz val="9"/>
            <color indexed="81"/>
            <rFont val="Tahoma"/>
            <family val="2"/>
          </rPr>
          <t>Lucas Scheidler:</t>
        </r>
        <r>
          <rPr>
            <sz val="9"/>
            <color indexed="81"/>
            <rFont val="Tahoma"/>
            <family val="2"/>
          </rPr>
          <t xml:space="preserve">
RS Means Online for 5 ton unit. No efficiency information given.</t>
        </r>
      </text>
    </comment>
    <comment ref="AL213" authorId="0" shapeId="0">
      <text>
        <r>
          <rPr>
            <b/>
            <sz val="9"/>
            <color indexed="81"/>
            <rFont val="Tahoma"/>
            <family val="2"/>
          </rPr>
          <t>Lucas Scheidler:</t>
        </r>
        <r>
          <rPr>
            <sz val="9"/>
            <color indexed="81"/>
            <rFont val="Tahoma"/>
            <family val="2"/>
          </rPr>
          <t xml:space="preserve">
DEER 2005  13 SEER packaged ac $/ton
</t>
        </r>
      </text>
    </comment>
    <comment ref="AI214" authorId="0" shapeId="0">
      <text>
        <r>
          <rPr>
            <b/>
            <sz val="9"/>
            <color indexed="81"/>
            <rFont val="Tahoma"/>
            <family val="2"/>
          </rPr>
          <t>Lucas Scheidler:</t>
        </r>
        <r>
          <rPr>
            <sz val="9"/>
            <color indexed="81"/>
            <rFont val="Tahoma"/>
            <family val="2"/>
          </rPr>
          <t xml:space="preserve">
DEER 2001 Update 5 ton 14+ SEER</t>
        </r>
      </text>
    </comment>
    <comment ref="AJ214" authorId="0" shapeId="0">
      <text>
        <r>
          <rPr>
            <b/>
            <sz val="9"/>
            <color indexed="81"/>
            <rFont val="Tahoma"/>
            <family val="2"/>
          </rPr>
          <t>Lucas Scheidler:</t>
        </r>
        <r>
          <rPr>
            <sz val="9"/>
            <color indexed="81"/>
            <rFont val="Tahoma"/>
            <family val="2"/>
          </rPr>
          <t xml:space="preserve">
DEER 2008 14 SEER package AC 
airAC-Pkg-lt65kBtuh1phs-14p0seer</t>
        </r>
      </text>
    </comment>
    <comment ref="AL214" authorId="0" shapeId="0">
      <text>
        <r>
          <rPr>
            <b/>
            <sz val="9"/>
            <color indexed="81"/>
            <rFont val="Tahoma"/>
            <family val="2"/>
          </rPr>
          <t>Lucas Scheidler:</t>
        </r>
        <r>
          <rPr>
            <sz val="9"/>
            <color indexed="81"/>
            <rFont val="Tahoma"/>
            <family val="2"/>
          </rPr>
          <t xml:space="preserve">
DEER 2005 14 SEER $/ton</t>
        </r>
      </text>
    </comment>
    <comment ref="Q217" authorId="0" shapeId="0">
      <text>
        <r>
          <rPr>
            <b/>
            <sz val="9"/>
            <color indexed="81"/>
            <rFont val="Tahoma"/>
            <family val="2"/>
          </rPr>
          <t>Lucas Scheidler:</t>
        </r>
        <r>
          <rPr>
            <sz val="9"/>
            <color indexed="81"/>
            <rFont val="Tahoma"/>
            <family val="2"/>
          </rPr>
          <t xml:space="preserve">
These weights are from CMST. These three brands made up 51% of total record counts in CMST. Cross checking with CSS provided similar weighting. Of these brands, Carrier had the biggest market share in CMST (32%), but the weighting here has been adjusted to zero because the coefficient is not statistically significant for this brand.</t>
        </r>
      </text>
    </comment>
    <comment ref="T220" authorId="0" shapeId="0">
      <text>
        <r>
          <rPr>
            <b/>
            <sz val="9"/>
            <color indexed="81"/>
            <rFont val="Tahoma"/>
            <family val="2"/>
          </rPr>
          <t>Lucas Scheidler:</t>
        </r>
        <r>
          <rPr>
            <sz val="9"/>
            <color indexed="81"/>
            <rFont val="Tahoma"/>
            <family val="2"/>
          </rPr>
          <t xml:space="preserve">
placeholder until we get contractor markups from EMCOR</t>
        </r>
      </text>
    </comment>
    <comment ref="AI224" authorId="0" shapeId="0">
      <text>
        <r>
          <rPr>
            <b/>
            <sz val="9"/>
            <color indexed="81"/>
            <rFont val="Tahoma"/>
            <family val="2"/>
          </rPr>
          <t>Lucas Scheidler:</t>
        </r>
        <r>
          <rPr>
            <sz val="9"/>
            <color indexed="81"/>
            <rFont val="Tahoma"/>
            <family val="2"/>
          </rPr>
          <t xml:space="preserve">
EMCOR artifical bid</t>
        </r>
      </text>
    </comment>
    <comment ref="AJ224" authorId="0" shapeId="0">
      <text>
        <r>
          <rPr>
            <b/>
            <sz val="9"/>
            <color indexed="81"/>
            <rFont val="Tahoma"/>
            <family val="2"/>
          </rPr>
          <t>Lucas Scheidler:</t>
        </r>
        <r>
          <rPr>
            <sz val="9"/>
            <color indexed="81"/>
            <rFont val="Tahoma"/>
            <family val="2"/>
          </rPr>
          <t xml:space="preserve">
DEER 2001 for Pkg AC 10.5 EER @ $709/ton</t>
        </r>
      </text>
    </comment>
    <comment ref="AK224" authorId="0" shapeId="0">
      <text>
        <r>
          <rPr>
            <b/>
            <sz val="9"/>
            <color indexed="81"/>
            <rFont val="Tahoma"/>
            <family val="2"/>
          </rPr>
          <t>Lucas Scheidler:</t>
        </r>
        <r>
          <rPr>
            <sz val="9"/>
            <color indexed="81"/>
            <rFont val="Tahoma"/>
            <family val="2"/>
          </rPr>
          <t xml:space="preserve">
DEER 2005 for 239k btuh 10.8 EER Pkg AC at $785.77/ton</t>
        </r>
      </text>
    </comment>
    <comment ref="AL224" authorId="0" shapeId="0">
      <text>
        <r>
          <rPr>
            <b/>
            <sz val="9"/>
            <color indexed="81"/>
            <rFont val="Tahoma"/>
            <family val="2"/>
          </rPr>
          <t>Lucas Scheidler:</t>
        </r>
        <r>
          <rPr>
            <sz val="9"/>
            <color indexed="81"/>
            <rFont val="Tahoma"/>
            <family val="2"/>
          </rPr>
          <t xml:space="preserve">
2008 DEER for 240-759 kbtuh 10.8 EER pkg AC @ $765.86/ton</t>
        </r>
      </text>
    </comment>
    <comment ref="AM224" authorId="0" shapeId="0">
      <text>
        <r>
          <rPr>
            <b/>
            <sz val="9"/>
            <color indexed="81"/>
            <rFont val="Tahoma"/>
            <family val="2"/>
          </rPr>
          <t>Lucas Scheidler:</t>
        </r>
        <r>
          <rPr>
            <sz val="9"/>
            <color indexed="81"/>
            <rFont val="Tahoma"/>
            <family val="2"/>
          </rPr>
          <t xml:space="preserve">
RSMeans Online for 20 ton air cooled - no efficiency provided</t>
        </r>
      </text>
    </comment>
    <comment ref="Z225" authorId="0" shapeId="0">
      <text>
        <r>
          <rPr>
            <b/>
            <sz val="9"/>
            <color indexed="81"/>
            <rFont val="Tahoma"/>
            <family val="2"/>
          </rPr>
          <t>Lucas Scheidler:</t>
        </r>
        <r>
          <rPr>
            <sz val="9"/>
            <color indexed="81"/>
            <rFont val="Tahoma"/>
            <family val="2"/>
          </rPr>
          <t xml:space="preserve">
Incremental costs of $0 for this measure results from DEER measure definitions from READI having the same efficiency rating. Kevin Madison indicated in a call on 7/30/13 that these measure definitions need revision.</t>
        </r>
      </text>
    </comment>
    <comment ref="AI225" authorId="0" shapeId="0">
      <text>
        <r>
          <rPr>
            <b/>
            <sz val="9"/>
            <color indexed="81"/>
            <rFont val="Tahoma"/>
            <family val="2"/>
          </rPr>
          <t>Lucas Scheidler:</t>
        </r>
        <r>
          <rPr>
            <sz val="9"/>
            <color indexed="81"/>
            <rFont val="Tahoma"/>
            <family val="2"/>
          </rPr>
          <t xml:space="preserve">
EMCOR Artificial Bid
</t>
        </r>
      </text>
    </comment>
    <comment ref="AK225" authorId="0" shapeId="0">
      <text>
        <r>
          <rPr>
            <b/>
            <sz val="9"/>
            <color indexed="81"/>
            <rFont val="Tahoma"/>
            <family val="2"/>
          </rPr>
          <t>Lucas Scheidler:</t>
        </r>
        <r>
          <rPr>
            <sz val="9"/>
            <color indexed="81"/>
            <rFont val="Tahoma"/>
            <family val="2"/>
          </rPr>
          <t xml:space="preserve">
DEER 2005 for &gt; 760,000 k btuh 10 EER @ $555.15/ton
</t>
        </r>
      </text>
    </comment>
    <comment ref="AL225" authorId="0" shapeId="0">
      <text>
        <r>
          <rPr>
            <b/>
            <sz val="9"/>
            <color indexed="81"/>
            <rFont val="Tahoma"/>
            <family val="2"/>
          </rPr>
          <t>Lucas Scheidler:</t>
        </r>
        <r>
          <rPr>
            <sz val="9"/>
            <color indexed="81"/>
            <rFont val="Tahoma"/>
            <family val="2"/>
          </rPr>
          <t xml:space="preserve">
DEER 2008 for &gt; 760 kBtuh 10 EER pkg AC @ $ $663.09/ton</t>
        </r>
      </text>
    </comment>
    <comment ref="AM225" authorId="0" shapeId="0">
      <text>
        <r>
          <rPr>
            <b/>
            <sz val="9"/>
            <color indexed="81"/>
            <rFont val="Tahoma"/>
            <family val="2"/>
          </rPr>
          <t>Lucas Scheidler:</t>
        </r>
        <r>
          <rPr>
            <sz val="9"/>
            <color indexed="81"/>
            <rFont val="Tahoma"/>
            <family val="2"/>
          </rPr>
          <t xml:space="preserve">
RSMeans Online for 7
0 ton air cooled - no efficiency provided</t>
        </r>
      </text>
    </comment>
    <comment ref="T233" authorId="0" shapeId="0">
      <text>
        <r>
          <rPr>
            <b/>
            <sz val="9"/>
            <color indexed="81"/>
            <rFont val="Tahoma"/>
            <family val="2"/>
          </rPr>
          <t>Lucas Scheidler:</t>
        </r>
        <r>
          <rPr>
            <sz val="9"/>
            <color indexed="81"/>
            <rFont val="Tahoma"/>
            <family val="2"/>
          </rPr>
          <t xml:space="preserve">
based on contractor markups from EMCOR</t>
        </r>
      </text>
    </comment>
    <comment ref="Y245" authorId="0" shapeId="0">
      <text>
        <r>
          <rPr>
            <b/>
            <sz val="9"/>
            <color indexed="81"/>
            <rFont val="Tahoma"/>
            <family val="2"/>
          </rPr>
          <t>Lucas Scheidler:</t>
        </r>
        <r>
          <rPr>
            <sz val="9"/>
            <color indexed="81"/>
            <rFont val="Tahoma"/>
            <family val="2"/>
          </rPr>
          <t xml:space="preserve">
EMCOR indicated this is not a technology that is used in the market</t>
        </r>
      </text>
    </comment>
    <comment ref="Y246" authorId="0" shapeId="0">
      <text>
        <r>
          <rPr>
            <b/>
            <sz val="9"/>
            <color indexed="81"/>
            <rFont val="Tahoma"/>
            <family val="2"/>
          </rPr>
          <t>Lucas Scheidler:</t>
        </r>
        <r>
          <rPr>
            <sz val="9"/>
            <color indexed="81"/>
            <rFont val="Tahoma"/>
            <family val="2"/>
          </rPr>
          <t xml:space="preserve">
EMCOR indicated this is not a technology that is used in the market</t>
        </r>
      </text>
    </comment>
    <comment ref="AJ246" authorId="0" shapeId="0">
      <text>
        <r>
          <rPr>
            <b/>
            <sz val="9"/>
            <color indexed="81"/>
            <rFont val="Tahoma"/>
            <family val="2"/>
          </rPr>
          <t>Lucas Scheidler:</t>
        </r>
        <r>
          <rPr>
            <sz val="9"/>
            <color indexed="81"/>
            <rFont val="Tahoma"/>
            <family val="2"/>
          </rPr>
          <t xml:space="preserve">
DEER 2005 1.008 kW/ton air cooled screw chiller @$488/ton</t>
        </r>
      </text>
    </comment>
    <comment ref="AK246" authorId="0" shapeId="0">
      <text>
        <r>
          <rPr>
            <b/>
            <sz val="9"/>
            <color indexed="81"/>
            <rFont val="Tahoma"/>
            <family val="2"/>
          </rPr>
          <t>Lucas Scheidler:</t>
        </r>
        <r>
          <rPr>
            <sz val="9"/>
            <color indexed="81"/>
            <rFont val="Tahoma"/>
            <family val="2"/>
          </rPr>
          <t xml:space="preserve">
DEER 2008 
Chlr-AirScrew-AllSizes-1p008kwpton @ $552.09/ton</t>
        </r>
      </text>
    </comment>
    <comment ref="AI247" authorId="0" shapeId="0">
      <text>
        <r>
          <rPr>
            <b/>
            <sz val="9"/>
            <color indexed="81"/>
            <rFont val="Tahoma"/>
            <family val="2"/>
          </rPr>
          <t>Lucas Scheidler:</t>
        </r>
        <r>
          <rPr>
            <sz val="9"/>
            <color indexed="81"/>
            <rFont val="Tahoma"/>
            <family val="2"/>
          </rPr>
          <t xml:space="preserve">
EMCOR artificial bid. 100 ton air cooled unit. Efficiency and technology type not provided.</t>
        </r>
      </text>
    </comment>
    <comment ref="AL249" authorId="0" shapeId="0">
      <text>
        <r>
          <rPr>
            <b/>
            <sz val="9"/>
            <color indexed="81"/>
            <rFont val="Tahoma"/>
            <family val="2"/>
          </rPr>
          <t>Lucas Scheidler:</t>
        </r>
        <r>
          <rPr>
            <sz val="9"/>
            <color indexed="81"/>
            <rFont val="Tahoma"/>
            <family val="2"/>
          </rPr>
          <t xml:space="preserve">
RS Means Online - no efficiecny procided</t>
        </r>
      </text>
    </comment>
    <comment ref="Q250" authorId="0" shapeId="0">
      <text>
        <r>
          <rPr>
            <b/>
            <sz val="9"/>
            <color indexed="81"/>
            <rFont val="Tahoma"/>
            <family val="2"/>
          </rPr>
          <t>Lucas Scheidler:</t>
        </r>
        <r>
          <rPr>
            <sz val="9"/>
            <color indexed="81"/>
            <rFont val="Tahoma"/>
            <family val="2"/>
          </rPr>
          <t xml:space="preserve">
These weights are from CEUS for air cooled chillers. CEUS weights were also benchmarked to CSS. Brand weights from the two studies are similar, but given the smaller sample size for CSS and no differentiantion between air cooled and water cooled units in the data, CEUS weights were applied.</t>
        </r>
      </text>
    </comment>
    <comment ref="AL251" authorId="0" shapeId="0">
      <text>
        <r>
          <rPr>
            <b/>
            <sz val="9"/>
            <color indexed="81"/>
            <rFont val="Tahoma"/>
            <family val="2"/>
          </rPr>
          <t>Lucas Scheidler:</t>
        </r>
        <r>
          <rPr>
            <sz val="9"/>
            <color indexed="81"/>
            <rFont val="Tahoma"/>
            <family val="2"/>
          </rPr>
          <t xml:space="preserve">
RS Means Online - no efficiecny procided</t>
        </r>
      </text>
    </comment>
    <comment ref="T254" authorId="0" shapeId="0">
      <text>
        <r>
          <rPr>
            <b/>
            <sz val="9"/>
            <color indexed="81"/>
            <rFont val="Tahoma"/>
            <family val="2"/>
          </rPr>
          <t>Lucas Scheidler:</t>
        </r>
        <r>
          <rPr>
            <sz val="9"/>
            <color indexed="81"/>
            <rFont val="Tahoma"/>
            <family val="2"/>
          </rPr>
          <t xml:space="preserve">
placeholder until we get contractor markups from EMCOR</t>
        </r>
      </text>
    </comment>
    <comment ref="AL268" authorId="0" shapeId="0">
      <text>
        <r>
          <rPr>
            <b/>
            <sz val="9"/>
            <color indexed="81"/>
            <rFont val="Tahoma"/>
            <family val="2"/>
          </rPr>
          <t>Lucas Scheidler:</t>
        </r>
        <r>
          <rPr>
            <sz val="9"/>
            <color indexed="81"/>
            <rFont val="Tahoma"/>
            <family val="2"/>
          </rPr>
          <t xml:space="preserve">
DEER 2008 
Chlr-Cent-150to299tons-0p507kwpton-ConstSpd @$591.08/ton</t>
        </r>
      </text>
    </comment>
    <comment ref="AI269" authorId="0" shapeId="0">
      <text>
        <r>
          <rPr>
            <b/>
            <sz val="9"/>
            <color indexed="81"/>
            <rFont val="Tahoma"/>
            <family val="2"/>
          </rPr>
          <t>Lucas Scheidler:</t>
        </r>
        <r>
          <rPr>
            <sz val="9"/>
            <color indexed="81"/>
            <rFont val="Tahoma"/>
            <family val="2"/>
          </rPr>
          <t xml:space="preserve">
EMCOR artificial bid - no efficiency or technology type provided</t>
        </r>
      </text>
    </comment>
    <comment ref="AJ269" authorId="0" shapeId="0">
      <text>
        <r>
          <rPr>
            <b/>
            <sz val="9"/>
            <color indexed="81"/>
            <rFont val="Tahoma"/>
            <family val="2"/>
          </rPr>
          <t>Lucas Scheidler:</t>
        </r>
        <r>
          <rPr>
            <sz val="9"/>
            <color indexed="81"/>
            <rFont val="Tahoma"/>
            <family val="2"/>
          </rPr>
          <t xml:space="preserve">
DEER 2001 300 ton 0.54 kw/ton  @$337/ton</t>
        </r>
      </text>
    </comment>
    <comment ref="AJ270" authorId="0" shapeId="0">
      <text>
        <r>
          <rPr>
            <b/>
            <sz val="9"/>
            <color indexed="81"/>
            <rFont val="Tahoma"/>
            <family val="2"/>
          </rPr>
          <t>Lucas Scheidler:</t>
        </r>
        <r>
          <rPr>
            <sz val="9"/>
            <color indexed="81"/>
            <rFont val="Tahoma"/>
            <family val="2"/>
          </rPr>
          <t xml:space="preserve">
DEER 2001 300 ton 0.47 kw/ton  @$353/ton</t>
        </r>
      </text>
    </comment>
    <comment ref="AL270" authorId="0" shapeId="0">
      <text>
        <r>
          <rPr>
            <b/>
            <sz val="9"/>
            <color indexed="81"/>
            <rFont val="Tahoma"/>
            <family val="2"/>
          </rPr>
          <t>Lucas Scheidler:</t>
        </r>
        <r>
          <rPr>
            <sz val="9"/>
            <color indexed="81"/>
            <rFont val="Tahoma"/>
            <family val="2"/>
          </rPr>
          <t xml:space="preserve">
DEER 2008 
Chlr-Cent-gte300tons-0p461kwpton-ConstSpd
@ $279.01/ton</t>
        </r>
      </text>
    </comment>
    <comment ref="AI271" authorId="0" shapeId="0">
      <text>
        <r>
          <rPr>
            <b/>
            <sz val="9"/>
            <color indexed="81"/>
            <rFont val="Tahoma"/>
            <family val="2"/>
          </rPr>
          <t>Lucas Scheidler:</t>
        </r>
        <r>
          <rPr>
            <sz val="9"/>
            <color indexed="81"/>
            <rFont val="Tahoma"/>
            <family val="2"/>
          </rPr>
          <t xml:space="preserve">
EMCOR artificial bid - no efficiency or technology type provided</t>
        </r>
      </text>
    </comment>
    <comment ref="AL272" authorId="0" shapeId="0">
      <text>
        <r>
          <rPr>
            <b/>
            <sz val="9"/>
            <color indexed="81"/>
            <rFont val="Tahoma"/>
            <family val="2"/>
          </rPr>
          <t>Lucas Scheidler:</t>
        </r>
        <r>
          <rPr>
            <sz val="9"/>
            <color indexed="81"/>
            <rFont val="Tahoma"/>
            <family val="2"/>
          </rPr>
          <t xml:space="preserve">
DEER 2008
Chlr-Cent-lt150tons-0p560kwpton-ConstSpd
@ $670.26</t>
        </r>
      </text>
    </comment>
    <comment ref="AK273" authorId="0" shapeId="0">
      <text>
        <r>
          <rPr>
            <b/>
            <sz val="9"/>
            <color indexed="81"/>
            <rFont val="Tahoma"/>
            <family val="2"/>
          </rPr>
          <t>Lucas Scheidler:
DEER 2005 same efficiency @$347/ton</t>
        </r>
      </text>
    </comment>
    <comment ref="AL273" authorId="0" shapeId="0">
      <text>
        <r>
          <rPr>
            <b/>
            <sz val="9"/>
            <color indexed="81"/>
            <rFont val="Tahoma"/>
            <family val="2"/>
          </rPr>
          <t>Lucas Scheidler:</t>
        </r>
        <r>
          <rPr>
            <sz val="9"/>
            <color indexed="81"/>
            <rFont val="Tahoma"/>
            <family val="2"/>
          </rPr>
          <t xml:space="preserve">
DEER 2008 
Chlr-Screw-150to299tons-0p718kwpton
@$361.01/ton</t>
        </r>
      </text>
    </comment>
    <comment ref="AM273" authorId="0" shapeId="0">
      <text>
        <r>
          <rPr>
            <b/>
            <sz val="9"/>
            <color indexed="81"/>
            <rFont val="Tahoma"/>
            <family val="2"/>
          </rPr>
          <t>Lucas Scheidler:</t>
        </r>
        <r>
          <rPr>
            <sz val="9"/>
            <color indexed="81"/>
            <rFont val="Tahoma"/>
            <family val="2"/>
          </rPr>
          <t xml:space="preserve">
RS Means Online - average of 200 and 250 ton unit - no efficieny provided</t>
        </r>
      </text>
    </comment>
    <comment ref="AN273" authorId="0" shapeId="0">
      <text>
        <r>
          <rPr>
            <b/>
            <sz val="9"/>
            <color indexed="81"/>
            <rFont val="Tahoma"/>
            <family val="2"/>
          </rPr>
          <t>Lucas Scheidler:</t>
        </r>
        <r>
          <rPr>
            <sz val="9"/>
            <color indexed="81"/>
            <rFont val="Tahoma"/>
            <family val="2"/>
          </rPr>
          <t xml:space="preserve">
Workpaper SCE13HC043
@ $363.24/ton
</t>
        </r>
      </text>
    </comment>
    <comment ref="AK274" authorId="0" shapeId="0">
      <text>
        <r>
          <rPr>
            <b/>
            <sz val="9"/>
            <color indexed="81"/>
            <rFont val="Tahoma"/>
            <family val="2"/>
          </rPr>
          <t>Lucas Scheidler:</t>
        </r>
        <r>
          <rPr>
            <sz val="9"/>
            <color indexed="81"/>
            <rFont val="Tahoma"/>
            <family val="2"/>
          </rPr>
          <t xml:space="preserve">
DEER 2005 same efficiency @$372/ton</t>
        </r>
      </text>
    </comment>
    <comment ref="AL274" authorId="0" shapeId="0">
      <text>
        <r>
          <rPr>
            <b/>
            <sz val="9"/>
            <color indexed="81"/>
            <rFont val="Tahoma"/>
            <family val="2"/>
          </rPr>
          <t>Lucas Scheidler:</t>
        </r>
        <r>
          <rPr>
            <sz val="9"/>
            <color indexed="81"/>
            <rFont val="Tahoma"/>
            <family val="2"/>
          </rPr>
          <t xml:space="preserve">
DEER 2008
Chlr-Screw-150to299tons-0p574kwpton
@ $431.02/ton</t>
        </r>
      </text>
    </comment>
    <comment ref="AI275" authorId="0" shapeId="0">
      <text>
        <r>
          <rPr>
            <b/>
            <sz val="9"/>
            <color indexed="81"/>
            <rFont val="Tahoma"/>
            <family val="2"/>
          </rPr>
          <t>Lucas Scheidler:</t>
        </r>
        <r>
          <rPr>
            <sz val="9"/>
            <color indexed="81"/>
            <rFont val="Tahoma"/>
            <family val="2"/>
          </rPr>
          <t xml:space="preserve">
EMCOR artificial bid - no efficiency or technology type provided</t>
        </r>
      </text>
    </comment>
    <comment ref="AL275" authorId="0" shapeId="0">
      <text>
        <r>
          <rPr>
            <b/>
            <sz val="9"/>
            <color indexed="81"/>
            <rFont val="Tahoma"/>
            <family val="2"/>
          </rPr>
          <t>Lucas Scheidler:</t>
        </r>
        <r>
          <rPr>
            <sz val="9"/>
            <color indexed="81"/>
            <rFont val="Tahoma"/>
            <family val="2"/>
          </rPr>
          <t xml:space="preserve">
DEER 2008
Chlr-Screw-gte300tons-0p639kwpton
@$293.32/ton</t>
        </r>
      </text>
    </comment>
    <comment ref="AM275" authorId="0" shapeId="0">
      <text>
        <r>
          <rPr>
            <b/>
            <sz val="9"/>
            <color indexed="81"/>
            <rFont val="Tahoma"/>
            <family val="2"/>
          </rPr>
          <t>Lucas Scheidler:</t>
        </r>
        <r>
          <rPr>
            <sz val="9"/>
            <color indexed="81"/>
            <rFont val="Tahoma"/>
            <family val="2"/>
          </rPr>
          <t xml:space="preserve">
RS Means Online - no efficiency procided</t>
        </r>
      </text>
    </comment>
    <comment ref="AN275" authorId="0" shapeId="0">
      <text>
        <r>
          <rPr>
            <b/>
            <sz val="9"/>
            <color indexed="81"/>
            <rFont val="Tahoma"/>
            <family val="2"/>
          </rPr>
          <t>Lucas Scheidler:</t>
        </r>
        <r>
          <rPr>
            <sz val="9"/>
            <color indexed="81"/>
            <rFont val="Tahoma"/>
            <family val="2"/>
          </rPr>
          <t xml:space="preserve">
Workpaper SCE13HC043
@ $288.81/ton</t>
        </r>
      </text>
    </comment>
    <comment ref="T276" authorId="0" shapeId="0">
      <text>
        <r>
          <rPr>
            <b/>
            <sz val="9"/>
            <color indexed="81"/>
            <rFont val="Tahoma"/>
            <family val="2"/>
          </rPr>
          <t>Lucas Scheidler:</t>
        </r>
        <r>
          <rPr>
            <sz val="9"/>
            <color indexed="81"/>
            <rFont val="Tahoma"/>
            <family val="2"/>
          </rPr>
          <t xml:space="preserve">
markup from EMCOR</t>
        </r>
      </text>
    </comment>
    <comment ref="AL276" authorId="0" shapeId="0">
      <text>
        <r>
          <rPr>
            <b/>
            <sz val="9"/>
            <color indexed="81"/>
            <rFont val="Tahoma"/>
            <family val="2"/>
          </rPr>
          <t>Lucas Scheidler:</t>
        </r>
        <r>
          <rPr>
            <sz val="9"/>
            <color indexed="81"/>
            <rFont val="Tahoma"/>
            <family val="2"/>
          </rPr>
          <t xml:space="preserve">
DEER 2008 
Chlr-Screw-gte300tons-0p511kwpton
@ $341.32/ton</t>
        </r>
      </text>
    </comment>
    <comment ref="AI277" authorId="0" shapeId="0">
      <text>
        <r>
          <rPr>
            <b/>
            <sz val="9"/>
            <color indexed="81"/>
            <rFont val="Tahoma"/>
            <family val="2"/>
          </rPr>
          <t>Lucas Scheidler:</t>
        </r>
        <r>
          <rPr>
            <sz val="9"/>
            <color indexed="81"/>
            <rFont val="Tahoma"/>
            <family val="2"/>
          </rPr>
          <t xml:space="preserve">
EMCOR artificial bid - no efficiency or technology type provided</t>
        </r>
      </text>
    </comment>
    <comment ref="AK277" authorId="0" shapeId="0">
      <text>
        <r>
          <rPr>
            <b/>
            <sz val="9"/>
            <color indexed="81"/>
            <rFont val="Tahoma"/>
            <family val="2"/>
          </rPr>
          <t>Lucas Scheidler:</t>
        </r>
        <r>
          <rPr>
            <sz val="9"/>
            <color indexed="81"/>
            <rFont val="Tahoma"/>
            <family val="2"/>
          </rPr>
          <t xml:space="preserve">
DEER 2005 same efficiency @$443/ton</t>
        </r>
      </text>
    </comment>
    <comment ref="AL277" authorId="0" shapeId="0">
      <text>
        <r>
          <rPr>
            <b/>
            <sz val="9"/>
            <color indexed="81"/>
            <rFont val="Tahoma"/>
            <family val="2"/>
          </rPr>
          <t>Lucas Scheidler:</t>
        </r>
        <r>
          <rPr>
            <sz val="9"/>
            <color indexed="81"/>
            <rFont val="Tahoma"/>
            <family val="2"/>
          </rPr>
          <t xml:space="preserve">
DEER 2008
Chlr-Screw-lt150tons-0p790kwpton
@ $475.38 / ton</t>
        </r>
      </text>
    </comment>
    <comment ref="AM277" authorId="0" shapeId="0">
      <text>
        <r>
          <rPr>
            <b/>
            <sz val="9"/>
            <color indexed="81"/>
            <rFont val="Tahoma"/>
            <family val="2"/>
          </rPr>
          <t>Lucas Scheidler:</t>
        </r>
        <r>
          <rPr>
            <sz val="9"/>
            <color indexed="81"/>
            <rFont val="Tahoma"/>
            <family val="2"/>
          </rPr>
          <t xml:space="preserve">
RS Means Online - no efficiency procided</t>
        </r>
      </text>
    </comment>
    <comment ref="AN277" authorId="0" shapeId="0">
      <text>
        <r>
          <rPr>
            <b/>
            <sz val="9"/>
            <color indexed="81"/>
            <rFont val="Tahoma"/>
            <family val="2"/>
          </rPr>
          <t>Lucas Scheidler:</t>
        </r>
        <r>
          <rPr>
            <sz val="9"/>
            <color indexed="81"/>
            <rFont val="Tahoma"/>
            <family val="2"/>
          </rPr>
          <t xml:space="preserve">
Workpaper SCE13HC043
@ $454.88/ton</t>
        </r>
      </text>
    </comment>
    <comment ref="AK278" authorId="0" shapeId="0">
      <text>
        <r>
          <rPr>
            <b/>
            <sz val="9"/>
            <color indexed="81"/>
            <rFont val="Tahoma"/>
            <family val="2"/>
          </rPr>
          <t>Lucas Scheidler:</t>
        </r>
        <r>
          <rPr>
            <sz val="9"/>
            <color indexed="81"/>
            <rFont val="Tahoma"/>
            <family val="2"/>
          </rPr>
          <t xml:space="preserve">
DEER 2005 same efficiency @$492/ton</t>
        </r>
      </text>
    </comment>
    <comment ref="AL278" authorId="0" shapeId="0">
      <text>
        <r>
          <rPr>
            <b/>
            <sz val="9"/>
            <color indexed="81"/>
            <rFont val="Tahoma"/>
            <family val="2"/>
          </rPr>
          <t>Lucas Scheidler:</t>
        </r>
        <r>
          <rPr>
            <sz val="9"/>
            <color indexed="81"/>
            <rFont val="Tahoma"/>
            <family val="2"/>
          </rPr>
          <t xml:space="preserve">
DEER 2008
Chlr-Screw-lt150tons-0p632kwpton
@ $ 603.51/ton</t>
        </r>
      </text>
    </comment>
    <comment ref="A280" authorId="0" shapeId="0">
      <text>
        <r>
          <rPr>
            <b/>
            <sz val="9"/>
            <color indexed="81"/>
            <rFont val="Tahoma"/>
            <family val="2"/>
          </rPr>
          <t>Lucas Scheidler:</t>
        </r>
        <r>
          <rPr>
            <sz val="9"/>
            <color indexed="81"/>
            <rFont val="Tahoma"/>
            <family val="2"/>
          </rPr>
          <t xml:space="preserve">
Workpapers indicate there are no centrifugal VSD chillers &lt; 150 tons in the market. Our research confirms this. Additionally, our subcontractors found very few (4) units less than 300 tons. Given the small sample size, a regression model could only be developed for units &gt;= 300 tons.</t>
        </r>
      </text>
    </comment>
    <comment ref="AI280" authorId="0" shapeId="0">
      <text>
        <r>
          <rPr>
            <b/>
            <sz val="9"/>
            <color indexed="81"/>
            <rFont val="Tahoma"/>
            <family val="2"/>
          </rPr>
          <t>Lucas Scheidler:</t>
        </r>
        <r>
          <rPr>
            <sz val="9"/>
            <color indexed="81"/>
            <rFont val="Tahoma"/>
            <family val="2"/>
          </rPr>
          <t xml:space="preserve">
2005 DEER 0.576 kw/ton @$290/ton</t>
        </r>
      </text>
    </comment>
    <comment ref="AI281" authorId="0" shapeId="0">
      <text>
        <r>
          <rPr>
            <b/>
            <sz val="9"/>
            <color indexed="81"/>
            <rFont val="Tahoma"/>
            <family val="2"/>
          </rPr>
          <t>Lucas Scheidler:</t>
        </r>
        <r>
          <rPr>
            <sz val="9"/>
            <color indexed="81"/>
            <rFont val="Tahoma"/>
            <family val="2"/>
          </rPr>
          <t xml:space="preserve">
2005 DEER 0.461 kw/ton @$373/ton</t>
        </r>
      </text>
    </comment>
    <comment ref="AJ281" authorId="0" shapeId="0">
      <text>
        <r>
          <rPr>
            <b/>
            <sz val="9"/>
            <color indexed="81"/>
            <rFont val="Tahoma"/>
            <family val="2"/>
          </rPr>
          <t>Lucas Scheidler:</t>
        </r>
        <r>
          <rPr>
            <sz val="9"/>
            <color indexed="81"/>
            <rFont val="Tahoma"/>
            <family val="2"/>
          </rPr>
          <t xml:space="preserve">
2008 DEER 
Chlr-Cent-gte300tons-0p461kwpton-VSD
@ $475.46/ton</t>
        </r>
      </text>
    </comment>
    <comment ref="Q282" authorId="0" shapeId="0">
      <text>
        <r>
          <rPr>
            <b/>
            <sz val="9"/>
            <color indexed="81"/>
            <rFont val="Tahoma"/>
            <family val="2"/>
          </rPr>
          <t>Lucas Scheidler:</t>
        </r>
        <r>
          <rPr>
            <sz val="9"/>
            <color indexed="81"/>
            <rFont val="Tahoma"/>
            <family val="2"/>
          </rPr>
          <t xml:space="preserve">
These weights are from CEUS for water cooled chillers. CEUS weights were also benchmarked to CSS. Brand weights from the two studies are similar, but given the smaller sample size for CSS and no differentiantion between air cooled and water cooled units in the data, CEUS weights were applied.</t>
        </r>
      </text>
    </comment>
    <comment ref="T289" authorId="0" shapeId="0">
      <text>
        <r>
          <rPr>
            <b/>
            <sz val="9"/>
            <color indexed="81"/>
            <rFont val="Tahoma"/>
            <family val="2"/>
          </rPr>
          <t>Lucas Scheidler:</t>
        </r>
        <r>
          <rPr>
            <sz val="9"/>
            <color indexed="81"/>
            <rFont val="Tahoma"/>
            <family val="2"/>
          </rPr>
          <t xml:space="preserve">
 markups from EMCOR</t>
        </r>
      </text>
    </comment>
    <comment ref="AI291" authorId="0" shapeId="0">
      <text>
        <r>
          <rPr>
            <b/>
            <sz val="9"/>
            <color indexed="81"/>
            <rFont val="Tahoma"/>
            <family val="2"/>
          </rPr>
          <t>Lucas Scheidler:</t>
        </r>
        <r>
          <rPr>
            <sz val="9"/>
            <color indexed="81"/>
            <rFont val="Tahoma"/>
            <family val="2"/>
          </rPr>
          <t xml:space="preserve">
DEER 2001 for 5 ton 12.7 SEER</t>
        </r>
      </text>
    </comment>
    <comment ref="AJ291" authorId="0" shapeId="0">
      <text>
        <r>
          <rPr>
            <b/>
            <sz val="9"/>
            <color indexed="81"/>
            <rFont val="Tahoma"/>
            <family val="2"/>
          </rPr>
          <t>Lucas Scheidler:</t>
        </r>
        <r>
          <rPr>
            <sz val="9"/>
            <color indexed="81"/>
            <rFont val="Tahoma"/>
            <family val="2"/>
          </rPr>
          <t xml:space="preserve">
DEER 2005
13 SEER / 7.7 HSPF three phase package A/C Heat Pump
@$959/ton</t>
        </r>
      </text>
    </comment>
    <comment ref="AJ292" authorId="0" shapeId="0">
      <text>
        <r>
          <rPr>
            <b/>
            <sz val="9"/>
            <color indexed="81"/>
            <rFont val="Tahoma"/>
            <family val="2"/>
          </rPr>
          <t>Lucas Scheidler:</t>
        </r>
        <r>
          <rPr>
            <sz val="9"/>
            <color indexed="81"/>
            <rFont val="Tahoma"/>
            <family val="2"/>
          </rPr>
          <t xml:space="preserve">
DEER 2005
14 SEER(12.19 EER)/8.6 HSPF(3.52 COP) Package A/C Heat Pump
@$995/ton</t>
        </r>
      </text>
    </comment>
    <comment ref="Q293" authorId="0" shapeId="0">
      <text>
        <r>
          <rPr>
            <b/>
            <sz val="9"/>
            <color indexed="81"/>
            <rFont val="Tahoma"/>
            <family val="2"/>
          </rPr>
          <t>Lucas Scheidler:</t>
        </r>
        <r>
          <rPr>
            <sz val="9"/>
            <color indexed="81"/>
            <rFont val="Tahoma"/>
            <family val="2"/>
          </rPr>
          <t xml:space="preserve">
These weights are from CMST. These four  brands made up 40% of total record counts in CMST. Cross checking with CSS provided similar weighting. </t>
        </r>
      </text>
    </comment>
    <comment ref="T300" authorId="0" shapeId="0">
      <text>
        <r>
          <rPr>
            <b/>
            <sz val="9"/>
            <color indexed="81"/>
            <rFont val="Tahoma"/>
            <family val="2"/>
          </rPr>
          <t>Lucas Scheidler:</t>
        </r>
        <r>
          <rPr>
            <sz val="9"/>
            <color indexed="81"/>
            <rFont val="Tahoma"/>
            <family val="2"/>
          </rPr>
          <t xml:space="preserve">
placeholder until we get contractor markups from EMCOR</t>
        </r>
      </text>
    </comment>
    <comment ref="AH302" authorId="0" shapeId="0">
      <text>
        <r>
          <rPr>
            <b/>
            <sz val="9"/>
            <color indexed="81"/>
            <rFont val="Tahoma"/>
            <family val="2"/>
          </rPr>
          <t>Lucas Scheidler:</t>
        </r>
        <r>
          <rPr>
            <sz val="9"/>
            <color indexed="81"/>
            <rFont val="Tahoma"/>
            <family val="2"/>
          </rPr>
          <t xml:space="preserve">
Products meeting this description in the cost data set range from approximately $4000 to $8600 before contractor markup</t>
        </r>
      </text>
    </comment>
    <comment ref="AI302" authorId="0" shapeId="0">
      <text>
        <r>
          <rPr>
            <b/>
            <sz val="9"/>
            <color indexed="81"/>
            <rFont val="Tahoma"/>
            <family val="2"/>
          </rPr>
          <t>Lucas Scheidler:</t>
        </r>
        <r>
          <rPr>
            <sz val="9"/>
            <color indexed="81"/>
            <rFont val="Tahoma"/>
            <family val="2"/>
          </rPr>
          <t xml:space="preserve">
Emcor artifical bid</t>
        </r>
      </text>
    </comment>
    <comment ref="AJ303" authorId="0" shapeId="0">
      <text>
        <r>
          <rPr>
            <b/>
            <sz val="9"/>
            <color indexed="81"/>
            <rFont val="Tahoma"/>
            <family val="2"/>
          </rPr>
          <t>Lucas Scheidler:</t>
        </r>
        <r>
          <rPr>
            <sz val="9"/>
            <color indexed="81"/>
            <rFont val="Tahoma"/>
            <family val="2"/>
          </rPr>
          <t xml:space="preserve">
DEER 2001 
10 ton 10.9 EER</t>
        </r>
      </text>
    </comment>
    <comment ref="AJ304" authorId="0" shapeId="0">
      <text>
        <r>
          <rPr>
            <b/>
            <sz val="9"/>
            <color indexed="81"/>
            <rFont val="Tahoma"/>
            <family val="2"/>
          </rPr>
          <t>Lucas Scheidler:</t>
        </r>
        <r>
          <rPr>
            <sz val="9"/>
            <color indexed="81"/>
            <rFont val="Tahoma"/>
            <family val="2"/>
          </rPr>
          <t xml:space="preserve">
DEER 2001 
15 ton 10.5 EER</t>
        </r>
      </text>
    </comment>
    <comment ref="AL304" authorId="0" shapeId="0">
      <text>
        <r>
          <rPr>
            <b/>
            <sz val="9"/>
            <color indexed="81"/>
            <rFont val="Tahoma"/>
            <family val="2"/>
          </rPr>
          <t>Lucas Scheidler:</t>
        </r>
        <r>
          <rPr>
            <sz val="9"/>
            <color indexed="81"/>
            <rFont val="Tahoma"/>
            <family val="2"/>
          </rPr>
          <t xml:space="preserve">
DEER 2008 15 ton EER 10.8</t>
        </r>
      </text>
    </comment>
    <comment ref="S305" authorId="0" shapeId="0">
      <text>
        <r>
          <rPr>
            <b/>
            <sz val="9"/>
            <color indexed="81"/>
            <rFont val="Tahoma"/>
            <family val="2"/>
          </rPr>
          <t>Lucas Scheidler:</t>
        </r>
        <r>
          <rPr>
            <sz val="9"/>
            <color indexed="81"/>
            <rFont val="Tahoma"/>
            <family val="2"/>
          </rPr>
          <t xml:space="preserve">
CMST and CSS weights are available for large pkg heat pump. However, the brand information was not consistently available in the raw data for our model. One distributor, pacific coast trane, likely only sells Trane equipment. Trane has a market share of 13.45% in CMST. However, because the coefficient on the brand for Pacific coast trane is not significant, this weighting was not applied. Currently, only sample weights are used.</t>
        </r>
      </text>
    </comment>
    <comment ref="AK305" authorId="0" shapeId="0">
      <text>
        <r>
          <rPr>
            <b/>
            <sz val="9"/>
            <color indexed="81"/>
            <rFont val="Tahoma"/>
            <family val="2"/>
          </rPr>
          <t>Lucas Scheidler:</t>
        </r>
        <r>
          <rPr>
            <sz val="9"/>
            <color indexed="81"/>
            <rFont val="Tahoma"/>
            <family val="2"/>
          </rPr>
          <t xml:space="preserve">
2005 DEER 10 ton 11 EER</t>
        </r>
      </text>
    </comment>
    <comment ref="AJ306" authorId="0" shapeId="0">
      <text>
        <r>
          <rPr>
            <b/>
            <sz val="9"/>
            <color indexed="81"/>
            <rFont val="Tahoma"/>
            <family val="2"/>
          </rPr>
          <t>Lucas Scheidler:</t>
        </r>
        <r>
          <rPr>
            <sz val="9"/>
            <color indexed="81"/>
            <rFont val="Tahoma"/>
            <family val="2"/>
          </rPr>
          <t xml:space="preserve">
DEER 2001 30 ton 10.5 EER</t>
        </r>
      </text>
    </comment>
    <comment ref="T311" authorId="0" shapeId="0">
      <text>
        <r>
          <rPr>
            <b/>
            <sz val="9"/>
            <color indexed="81"/>
            <rFont val="Tahoma"/>
            <family val="2"/>
          </rPr>
          <t>Lucas Scheidler:</t>
        </r>
        <r>
          <rPr>
            <sz val="9"/>
            <color indexed="81"/>
            <rFont val="Tahoma"/>
            <family val="2"/>
          </rPr>
          <t xml:space="preserve">
contractor markup estimate  from EMCOR</t>
        </r>
      </text>
    </comment>
    <comment ref="AM312" authorId="3" shapeId="0">
      <text>
        <r>
          <rPr>
            <b/>
            <sz val="9"/>
            <color indexed="81"/>
            <rFont val="Tahoma"/>
            <family val="2"/>
          </rPr>
          <t>Dawdy, John:</t>
        </r>
        <r>
          <rPr>
            <sz val="9"/>
            <color indexed="81"/>
            <rFont val="Tahoma"/>
            <family val="2"/>
          </rPr>
          <t xml:space="preserve">
www.sears.com</t>
        </r>
      </text>
    </comment>
    <comment ref="AN312" authorId="3" shapeId="0">
      <text>
        <r>
          <rPr>
            <b/>
            <sz val="9"/>
            <color indexed="81"/>
            <rFont val="Tahoma"/>
            <family val="2"/>
          </rPr>
          <t xml:space="preserve">Dawdy, John:
</t>
        </r>
        <r>
          <rPr>
            <sz val="9"/>
            <color indexed="81"/>
            <rFont val="Tahoma"/>
            <family val="2"/>
          </rPr>
          <t>www.wallingtonplumbingsupply.com</t>
        </r>
      </text>
    </comment>
    <comment ref="AO312" authorId="3" shapeId="0">
      <text>
        <r>
          <rPr>
            <b/>
            <sz val="9"/>
            <color indexed="81"/>
            <rFont val="Tahoma"/>
            <family val="2"/>
          </rPr>
          <t>Dawdy, John:</t>
        </r>
        <r>
          <rPr>
            <sz val="9"/>
            <color indexed="81"/>
            <rFont val="Tahoma"/>
            <family val="2"/>
          </rPr>
          <t xml:space="preserve">
www.jupiterheating.com</t>
        </r>
      </text>
    </comment>
    <comment ref="AP312" authorId="3" shapeId="0">
      <text>
        <r>
          <rPr>
            <b/>
            <sz val="9"/>
            <color indexed="81"/>
            <rFont val="Tahoma"/>
            <family val="2"/>
          </rPr>
          <t>Dawdy, John:</t>
        </r>
        <r>
          <rPr>
            <sz val="9"/>
            <color indexed="81"/>
            <rFont val="Tahoma"/>
            <family val="2"/>
          </rPr>
          <t xml:space="preserve">
www.ronshomeandhardware.com</t>
        </r>
      </text>
    </comment>
    <comment ref="AQ312" authorId="3" shapeId="0">
      <text>
        <r>
          <rPr>
            <b/>
            <sz val="9"/>
            <color indexed="81"/>
            <rFont val="Tahoma"/>
            <family val="2"/>
          </rPr>
          <t>Dawdy, John:</t>
        </r>
        <r>
          <rPr>
            <sz val="9"/>
            <color indexed="81"/>
            <rFont val="Tahoma"/>
            <family val="2"/>
          </rPr>
          <t xml:space="preserve">
www.plumbersurplus.com</t>
        </r>
      </text>
    </comment>
    <comment ref="AR312" authorId="3" shapeId="0">
      <text>
        <r>
          <rPr>
            <b/>
            <sz val="9"/>
            <color indexed="81"/>
            <rFont val="Tahoma"/>
            <family val="2"/>
          </rPr>
          <t xml:space="preserve">Dawdy, John:
</t>
        </r>
        <r>
          <rPr>
            <sz val="9"/>
            <color indexed="81"/>
            <rFont val="Tahoma"/>
            <family val="2"/>
          </rPr>
          <t>www.menards.com</t>
        </r>
      </text>
    </comment>
    <comment ref="AS312" authorId="0" shapeId="0">
      <text>
        <r>
          <rPr>
            <b/>
            <sz val="9"/>
            <color indexed="81"/>
            <rFont val="Tahoma"/>
            <family val="2"/>
          </rPr>
          <t>Lucas Scheidler:</t>
        </r>
        <r>
          <rPr>
            <sz val="9"/>
            <color indexed="81"/>
            <rFont val="Tahoma"/>
            <family val="2"/>
          </rPr>
          <t xml:space="preserve">
RSMeans Online item 223430</t>
        </r>
      </text>
    </comment>
    <comment ref="Y313" authorId="0" shapeId="0">
      <text>
        <r>
          <rPr>
            <b/>
            <sz val="9"/>
            <color indexed="81"/>
            <rFont val="Tahoma"/>
            <family val="2"/>
          </rPr>
          <t>Lucas Scheidler:</t>
        </r>
        <r>
          <rPr>
            <sz val="9"/>
            <color indexed="81"/>
            <rFont val="Tahoma"/>
            <family val="2"/>
          </rPr>
          <t xml:space="preserve">
For all measures, Baseline units modeled as atmospheric draft. Measure units modeled with the rolled up forced draft coefficient.</t>
        </r>
      </text>
    </comment>
    <comment ref="AD313"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313" authorId="3" shapeId="0">
      <text>
        <r>
          <rPr>
            <b/>
            <sz val="9"/>
            <color indexed="81"/>
            <rFont val="Tahoma"/>
            <family val="2"/>
          </rPr>
          <t>Dawdy, John:</t>
        </r>
        <r>
          <rPr>
            <sz val="9"/>
            <color indexed="81"/>
            <rFont val="Tahoma"/>
            <family val="2"/>
          </rPr>
          <t xml:space="preserve">
http://www.pexsupply.com/AO-Smith-GCVL-40-40-Gallon-ProMax-6-Yr-Warranty-Residential-Gas-Water-Heater-Short-Model</t>
        </r>
      </text>
    </comment>
    <comment ref="AJ313" authorId="3" shapeId="0">
      <text>
        <r>
          <rPr>
            <b/>
            <sz val="9"/>
            <color indexed="81"/>
            <rFont val="Tahoma"/>
            <family val="2"/>
          </rPr>
          <t>Dawdy, John:</t>
        </r>
        <r>
          <rPr>
            <sz val="9"/>
            <color indexed="81"/>
            <rFont val="Tahoma"/>
            <family val="2"/>
          </rPr>
          <t xml:space="preserve">
http://www.lowes.com/pd_333578-135-NU40T61-403_0__?productId=3284918&amp;Ntt=gas+water+heater&amp;pl=1&amp;currentURL=%3FNtt%3Dgas%2Bwater%2Bheater&amp;facetInfo=</t>
        </r>
      </text>
    </comment>
    <comment ref="AK313" authorId="3" shapeId="0">
      <text>
        <r>
          <rPr>
            <b/>
            <sz val="9"/>
            <color indexed="81"/>
            <rFont val="Tahoma"/>
            <family val="2"/>
          </rPr>
          <t>Dawdy, John:</t>
        </r>
        <r>
          <rPr>
            <sz val="9"/>
            <color indexed="81"/>
            <rFont val="Tahoma"/>
            <family val="2"/>
          </rPr>
          <t xml:space="preserve">
http://www.ventingdirect.com/rheem-22v40f1-40-gallon-tall-natural-gas-residential-water-heater-38000-max-btu-input/p2143047</t>
        </r>
      </text>
    </comment>
    <comment ref="AL313" authorId="3" shapeId="0">
      <text>
        <r>
          <rPr>
            <b/>
            <sz val="9"/>
            <color indexed="81"/>
            <rFont val="Tahoma"/>
            <family val="2"/>
          </rPr>
          <t>Dawdy, John:</t>
        </r>
        <r>
          <rPr>
            <sz val="9"/>
            <color indexed="81"/>
            <rFont val="Tahoma"/>
            <family val="2"/>
          </rPr>
          <t xml:space="preserve">
http://www.homedepot.com/p/GE-40-Gal-Tall-6-Year-36-000-BTU-Natural-Gas-Water-Heater-GG40T06AVG01/100013742</t>
        </r>
      </text>
    </comment>
    <comment ref="AI314" authorId="3" shapeId="0">
      <text>
        <r>
          <rPr>
            <b/>
            <sz val="9"/>
            <color indexed="81"/>
            <rFont val="Tahoma"/>
            <family val="2"/>
          </rPr>
          <t>Dawdy, John:</t>
        </r>
        <r>
          <rPr>
            <sz val="9"/>
            <color indexed="81"/>
            <rFont val="Tahoma"/>
            <family val="2"/>
          </rPr>
          <t xml:space="preserve">
http://www.pexsupply.com/AO-Smith-GVR-40-40-Gallon-40000-BTU-ProMax-Plus-High-Efficiency-Residential-Gas-Water-Heater-Tall-Model-Nat-Gas</t>
        </r>
      </text>
    </comment>
    <comment ref="AJ314" authorId="3" shapeId="0">
      <text>
        <r>
          <rPr>
            <b/>
            <sz val="9"/>
            <color indexed="81"/>
            <rFont val="Tahoma"/>
            <family val="2"/>
          </rPr>
          <t>Dawdy, John:</t>
        </r>
        <r>
          <rPr>
            <sz val="9"/>
            <color indexed="81"/>
            <rFont val="Tahoma"/>
            <family val="2"/>
          </rPr>
          <t xml:space="preserve">
http://www.lowes.com/pd_333591-135-NU40T62-403_0__?productId=3284924&amp;Ntt=gas+water+heater&amp;pl=1&amp;currentURL=%3FNtt%3Dgas%2Bwater%2Bheater&amp;facetInfo=</t>
        </r>
      </text>
    </comment>
    <comment ref="AK314" authorId="3" shapeId="0">
      <text>
        <r>
          <rPr>
            <b/>
            <sz val="9"/>
            <color indexed="81"/>
            <rFont val="Tahoma"/>
            <family val="2"/>
          </rPr>
          <t>Dawdy, John:</t>
        </r>
        <r>
          <rPr>
            <sz val="9"/>
            <color indexed="81"/>
            <rFont val="Tahoma"/>
            <family val="2"/>
          </rPr>
          <t xml:space="preserve">
http://www.ventingdirect.com/rheem-rhgpro40-40f-professional-40-gallon-tall-natural-gas-residential-water-heater-40000-max-btu-input/p2143123</t>
        </r>
      </text>
    </comment>
    <comment ref="AL314" authorId="3" shapeId="0">
      <text>
        <r>
          <rPr>
            <b/>
            <sz val="9"/>
            <color indexed="81"/>
            <rFont val="Tahoma"/>
            <family val="2"/>
          </rPr>
          <t>Dawdy, John:</t>
        </r>
        <r>
          <rPr>
            <sz val="9"/>
            <color indexed="81"/>
            <rFont val="Tahoma"/>
            <family val="2"/>
          </rPr>
          <t xml:space="preserve">
http://www.homedepot.com/p/GE-40-Gal-Tall-6-Year-38-000-BTU-Natural-Gas-High-Efficiency-Ultra-Low-NOx-Water-Heater-GG40T06TXK00/100614634</t>
        </r>
      </text>
    </comment>
    <comment ref="AI315" authorId="3" shapeId="0">
      <text>
        <r>
          <rPr>
            <b/>
            <sz val="9"/>
            <color indexed="81"/>
            <rFont val="Tahoma"/>
            <family val="2"/>
          </rPr>
          <t>Dawdy, John:</t>
        </r>
        <r>
          <rPr>
            <sz val="9"/>
            <color indexed="81"/>
            <rFont val="Tahoma"/>
            <family val="2"/>
          </rPr>
          <t xml:space="preserve">
http://www.pexsupply.com/AO-Smith-GCFL-40-40-Gallon-40000-BTU-Series-100-High-Efficiency-Residential-Water-Heater-Short-Model-Nat-Gas</t>
        </r>
      </text>
    </comment>
    <comment ref="AJ315" authorId="3" shapeId="0">
      <text>
        <r>
          <rPr>
            <b/>
            <sz val="9"/>
            <color indexed="81"/>
            <rFont val="Tahoma"/>
            <family val="2"/>
          </rPr>
          <t>Dawdy, John:</t>
        </r>
        <r>
          <rPr>
            <sz val="9"/>
            <color indexed="81"/>
            <rFont val="Tahoma"/>
            <family val="2"/>
          </rPr>
          <t xml:space="preserve">
http://www.lowes.com/pd_89263-135-PDVG62-40T42-PV_0__?productId=3046938&amp;Ntt=gas+water+heater&amp;pl=1&amp;currentURL=%3FNtt%3Dgas%2Bwater%2Bheater&amp;facetInfo=</t>
        </r>
      </text>
    </comment>
    <comment ref="AK315" authorId="3" shapeId="0">
      <text>
        <r>
          <rPr>
            <b/>
            <sz val="9"/>
            <color indexed="81"/>
            <rFont val="Tahoma"/>
            <family val="2"/>
          </rPr>
          <t>Dawdy, John:</t>
        </r>
        <r>
          <rPr>
            <sz val="9"/>
            <color indexed="81"/>
            <rFont val="Tahoma"/>
            <family val="2"/>
          </rPr>
          <t xml:space="preserve">
http://www.ventingdirect.com/rheem-pdv40ng-power-direct-vent-40-gallon-tall-natural-gas-residential-water-heater-40000-max-btu-input/p2143110</t>
        </r>
      </text>
    </comment>
    <comment ref="AP315" authorId="3" shapeId="0">
      <text>
        <r>
          <rPr>
            <b/>
            <sz val="9"/>
            <color indexed="81"/>
            <rFont val="Tahoma"/>
            <family val="2"/>
          </rPr>
          <t>Dawdy, John:</t>
        </r>
        <r>
          <rPr>
            <sz val="9"/>
            <color indexed="81"/>
            <rFont val="Tahoma"/>
            <family val="2"/>
          </rPr>
          <t xml:space="preserve">
http://www.ronshomeandhardware.com/Reliance-6-40-GBFT-40GAL-NATGas-WTR-Heater-p/138302.htm</t>
        </r>
      </text>
    </comment>
    <comment ref="AI316" authorId="3" shapeId="0">
      <text>
        <r>
          <rPr>
            <b/>
            <sz val="9"/>
            <color indexed="81"/>
            <rFont val="Tahoma"/>
            <family val="2"/>
          </rPr>
          <t>Dawdy, John:</t>
        </r>
        <r>
          <rPr>
            <sz val="9"/>
            <color indexed="81"/>
            <rFont val="Tahoma"/>
            <family val="2"/>
          </rPr>
          <t xml:space="preserve">
http://www.pexsupply.com/AO-Smith-GAHH-40-40-Gallon-40000-BTU-Effex-High-Efficiency-Residential-Gas-Water-Heater</t>
        </r>
      </text>
    </comment>
    <comment ref="AM316" authorId="3" shapeId="0">
      <text>
        <r>
          <rPr>
            <b/>
            <sz val="9"/>
            <color indexed="81"/>
            <rFont val="Tahoma"/>
            <family val="2"/>
          </rPr>
          <t>Dawdy, John:</t>
        </r>
        <r>
          <rPr>
            <sz val="9"/>
            <color indexed="81"/>
            <rFont val="Tahoma"/>
            <family val="2"/>
          </rPr>
          <t xml:space="preserve">
http://www.sears.com/kenmore-elite-40-gal-12-year-natural-gas/p-04233262000P?prdNo=9</t>
        </r>
      </text>
    </comment>
    <comment ref="AO316" authorId="3" shapeId="0">
      <text>
        <r>
          <rPr>
            <b/>
            <sz val="9"/>
            <color indexed="81"/>
            <rFont val="Tahoma"/>
            <family val="2"/>
          </rPr>
          <t>Dawdy, John:</t>
        </r>
        <r>
          <rPr>
            <sz val="9"/>
            <color indexed="81"/>
            <rFont val="Tahoma"/>
            <family val="2"/>
          </rPr>
          <t xml:space="preserve">
http://www.jupiterheating.com/a-o-smith/gahh-effex.html</t>
        </r>
      </text>
    </comment>
    <comment ref="Q317" authorId="0" shapeId="0">
      <text>
        <r>
          <rPr>
            <b/>
            <sz val="9"/>
            <color indexed="81"/>
            <rFont val="Tahoma"/>
            <family val="2"/>
          </rPr>
          <t>Lucas Scheidler:</t>
        </r>
        <r>
          <rPr>
            <sz val="9"/>
            <color indexed="81"/>
            <rFont val="Tahoma"/>
            <family val="2"/>
          </rPr>
          <t xml:space="preserve">
These weights are from 2006 - 2012 CLASS. Weights are the following: AO Smith 10.79%, Bradford White 16.75%, Rheem 10.97% and State 3.77%. No weights were applied, as none of the brands in the model had a significant coefficient.</t>
        </r>
      </text>
    </comment>
    <comment ref="AI317" authorId="3" shapeId="0">
      <text>
        <r>
          <rPr>
            <b/>
            <sz val="9"/>
            <color indexed="81"/>
            <rFont val="Tahoma"/>
            <family val="2"/>
          </rPr>
          <t>Dawdy, John:</t>
        </r>
        <r>
          <rPr>
            <sz val="9"/>
            <color indexed="81"/>
            <rFont val="Tahoma"/>
            <family val="2"/>
          </rPr>
          <t xml:space="preserve">
http://www.pexsupply.com/Bradford-White-M-I-60T6FBN-60-Gallon-40000-BTU-Defender-Safety-System-Atmospheric-Vent-Energy-Saver-Residential-Water-Heater-Nat-Gas</t>
        </r>
      </text>
    </comment>
    <comment ref="AK317" authorId="3" shapeId="0">
      <text>
        <r>
          <rPr>
            <b/>
            <sz val="9"/>
            <color indexed="81"/>
            <rFont val="Tahoma"/>
            <family val="2"/>
          </rPr>
          <t>Dawdy, John:</t>
        </r>
        <r>
          <rPr>
            <sz val="9"/>
            <color indexed="81"/>
            <rFont val="Tahoma"/>
            <family val="2"/>
          </rPr>
          <t xml:space="preserve">
http://www.ventingdirect.com/rheem-42v60f-60-gallon-tall-natural-gas-residential-water-heater-50000-max-btu-input/p2143063</t>
        </r>
      </text>
    </comment>
    <comment ref="AL317" authorId="3" shapeId="0">
      <text>
        <r>
          <rPr>
            <b/>
            <sz val="9"/>
            <color indexed="81"/>
            <rFont val="Tahoma"/>
            <family val="2"/>
          </rPr>
          <t>Dawdy, John:</t>
        </r>
        <r>
          <rPr>
            <sz val="9"/>
            <color indexed="81"/>
            <rFont val="Tahoma"/>
            <family val="2"/>
          </rPr>
          <t xml:space="preserve">
http://www.homedepot.com/p/GE-60-Gal-Tall-12-Year-45-000-BTU-Natural-Gas-Ultra-Low-NOx-Water-Heater-SG60T12YXS10/202020646#specifications</t>
        </r>
      </text>
    </comment>
    <comment ref="AN317" authorId="3" shapeId="0">
      <text>
        <r>
          <rPr>
            <b/>
            <sz val="9"/>
            <color indexed="81"/>
            <rFont val="Tahoma"/>
            <family val="2"/>
          </rPr>
          <t>Dawdy, John:</t>
        </r>
        <r>
          <rPr>
            <sz val="9"/>
            <color indexed="81"/>
            <rFont val="Tahoma"/>
            <family val="2"/>
          </rPr>
          <t xml:space="preserve">
http://www.wallingtonplumbingsupply.com/index.jsp?path=product&amp;part=663951&amp;ds=dept&amp;process=search&amp;qdx=0&amp;text=Rheem</t>
        </r>
      </text>
    </comment>
    <comment ref="AK318" authorId="3" shapeId="0">
      <text>
        <r>
          <rPr>
            <b/>
            <sz val="9"/>
            <color indexed="81"/>
            <rFont val="Tahoma"/>
            <family val="2"/>
          </rPr>
          <t>Dawdy, John:</t>
        </r>
        <r>
          <rPr>
            <sz val="9"/>
            <color indexed="81"/>
            <rFont val="Tahoma"/>
            <family val="2"/>
          </rPr>
          <t xml:space="preserve">
http://www.ventingdirect.com/rheem-rhgpro75f-75-gallon-tall-natural-gas-residential-heavy-duty-water-heater-75100-max-btu-input/p2143131</t>
        </r>
      </text>
    </comment>
    <comment ref="AP318" authorId="3" shapeId="0">
      <text>
        <r>
          <rPr>
            <b/>
            <sz val="9"/>
            <color indexed="81"/>
            <rFont val="Tahoma"/>
            <family val="2"/>
          </rPr>
          <t>Dawdy, John:</t>
        </r>
        <r>
          <rPr>
            <sz val="9"/>
            <color indexed="81"/>
            <rFont val="Tahoma"/>
            <family val="2"/>
          </rPr>
          <t xml:space="preserve">
http://www.ronshomeandhardware.com/6-75-XRRS-75GAL-Natural-GasWater-Heater-p/747124.htm</t>
        </r>
      </text>
    </comment>
    <comment ref="AQ318" authorId="3" shapeId="0">
      <text>
        <r>
          <rPr>
            <b/>
            <sz val="9"/>
            <color indexed="81"/>
            <rFont val="Tahoma"/>
            <family val="2"/>
          </rPr>
          <t>Dawdy, John:</t>
        </r>
        <r>
          <rPr>
            <sz val="9"/>
            <color indexed="81"/>
            <rFont val="Tahoma"/>
            <family val="2"/>
          </rPr>
          <t xml:space="preserve">
http://www.plumbersurplus.com/Prod/Reliance-6-75-XRRS-75-Gallon-Gas-Water-Heater/168648/Cat/771</t>
        </r>
      </text>
    </comment>
    <comment ref="AR318" authorId="3" shapeId="0">
      <text>
        <r>
          <rPr>
            <b/>
            <sz val="9"/>
            <color indexed="81"/>
            <rFont val="Tahoma"/>
            <family val="2"/>
          </rPr>
          <t>Dawdy, John:</t>
        </r>
        <r>
          <rPr>
            <sz val="9"/>
            <color indexed="81"/>
            <rFont val="Tahoma"/>
            <family val="2"/>
          </rPr>
          <t xml:space="preserve">
http://www.menards.com/main/plumbing/water-heaters/residential-water-heaters/richmond-75-gal-lp-gas-6-year-tall-heavy-duty-water-heater/p-1494283-c-8690.htm</t>
        </r>
      </text>
    </comment>
    <comment ref="K334" authorId="0" shapeId="0">
      <text>
        <r>
          <rPr>
            <b/>
            <sz val="9"/>
            <color indexed="81"/>
            <rFont val="Tahoma"/>
            <family val="2"/>
          </rPr>
          <t>Lucas Scheidler:</t>
        </r>
        <r>
          <rPr>
            <sz val="9"/>
            <color indexed="81"/>
            <rFont val="Tahoma"/>
            <family val="2"/>
          </rPr>
          <t xml:space="preserve">
DEER 2013 update</t>
        </r>
      </text>
    </comment>
    <comment ref="X334" authorId="0" shapeId="0">
      <text>
        <r>
          <rPr>
            <b/>
            <sz val="9"/>
            <color indexed="81"/>
            <rFont val="Tahoma"/>
            <family val="2"/>
          </rPr>
          <t>Lucas Scheidler:</t>
        </r>
        <r>
          <rPr>
            <sz val="9"/>
            <color indexed="81"/>
            <rFont val="Tahoma"/>
            <family val="2"/>
          </rPr>
          <t xml:space="preserve">
Baseline Efs adjusted according to DEER 2013 update</t>
        </r>
      </text>
    </comment>
    <comment ref="AD334"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Q336" authorId="0" shapeId="0">
      <text>
        <r>
          <rPr>
            <b/>
            <sz val="9"/>
            <color indexed="81"/>
            <rFont val="Tahoma"/>
            <family val="2"/>
          </rPr>
          <t>Lucas Scheidler:</t>
        </r>
        <r>
          <rPr>
            <sz val="9"/>
            <color indexed="81"/>
            <rFont val="Tahoma"/>
            <family val="2"/>
          </rPr>
          <t xml:space="preserve">
These weights are from 2006 - 2012 CLASS. Weights are the following: AO Smith 7.19%, Bradford White 16.49%, Rheem 7.71% and State 7.68%. Only the weight for Rheem is applied, as it is the only brand with a significant coefficient.</t>
        </r>
      </text>
    </comment>
    <comment ref="AD345"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345" authorId="2" shapeId="0">
      <text>
        <r>
          <rPr>
            <sz val="9"/>
            <color indexed="81"/>
            <rFont val="Tahoma"/>
            <family val="2"/>
          </rPr>
          <t xml:space="preserve">http://www.tanklessking.com
</t>
        </r>
      </text>
    </comment>
    <comment ref="AM345" authorId="2" shapeId="0">
      <text>
        <r>
          <rPr>
            <b/>
            <sz val="9"/>
            <color indexed="81"/>
            <rFont val="Tahoma"/>
            <family val="2"/>
          </rPr>
          <t>Phillip Kelsven:</t>
        </r>
        <r>
          <rPr>
            <sz val="9"/>
            <color indexed="81"/>
            <rFont val="Tahoma"/>
            <family val="2"/>
          </rPr>
          <t xml:space="preserve">
http://www.ecodirect.com
</t>
        </r>
      </text>
    </comment>
    <comment ref="AN345" authorId="2" shapeId="0">
      <text>
        <r>
          <rPr>
            <b/>
            <sz val="9"/>
            <color indexed="81"/>
            <rFont val="Tahoma"/>
            <family val="2"/>
          </rPr>
          <t>Phillip Kelsven:</t>
        </r>
        <r>
          <rPr>
            <sz val="9"/>
            <color indexed="81"/>
            <rFont val="Tahoma"/>
            <family val="2"/>
          </rPr>
          <t xml:space="preserve">
https://www.acwholesalers.com
</t>
        </r>
      </text>
    </comment>
    <comment ref="AR345" authorId="2" shapeId="0">
      <text>
        <r>
          <rPr>
            <b/>
            <sz val="9"/>
            <color indexed="81"/>
            <rFont val="Tahoma"/>
            <family val="2"/>
          </rPr>
          <t>Phillip Kelsven:</t>
        </r>
        <r>
          <rPr>
            <sz val="9"/>
            <color indexed="81"/>
            <rFont val="Tahoma"/>
            <family val="2"/>
          </rPr>
          <t xml:space="preserve">
http://www.westsidewholesale.com</t>
        </r>
      </text>
    </comment>
    <comment ref="X346" authorId="0" shape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t>
        </r>
      </text>
    </comment>
    <comment ref="AJ346" authorId="2" shapeId="0">
      <text>
        <r>
          <rPr>
            <b/>
            <sz val="9"/>
            <color indexed="81"/>
            <rFont val="Tahoma"/>
            <family val="2"/>
          </rPr>
          <t>Phillip Kelsven:</t>
        </r>
        <r>
          <rPr>
            <sz val="9"/>
            <color indexed="81"/>
            <rFont val="Tahoma"/>
            <family val="2"/>
          </rPr>
          <t xml:space="preserve">
http://www.amazon.com</t>
        </r>
      </text>
    </comment>
    <comment ref="AK346" authorId="2" shapeId="0">
      <text>
        <r>
          <rPr>
            <b/>
            <sz val="9"/>
            <color indexed="81"/>
            <rFont val="Tahoma"/>
            <family val="2"/>
          </rPr>
          <t>Phillip Kelsven:</t>
        </r>
        <r>
          <rPr>
            <sz val="9"/>
            <color indexed="81"/>
            <rFont val="Tahoma"/>
            <family val="2"/>
          </rPr>
          <t xml:space="preserve">
http://www.pexsupply.com</t>
        </r>
      </text>
    </comment>
    <comment ref="AT346" authorId="2" shapeId="0">
      <text>
        <r>
          <rPr>
            <b/>
            <sz val="9"/>
            <color indexed="81"/>
            <rFont val="Tahoma"/>
            <family val="2"/>
          </rPr>
          <t>Phillip Kelsven:</t>
        </r>
        <r>
          <rPr>
            <sz val="9"/>
            <color indexed="81"/>
            <rFont val="Tahoma"/>
            <family val="2"/>
          </rPr>
          <t xml:space="preserve">
http://www.buyzillion.com/1117179175620356/takagi-t-h2s-osng-8-0-gpm-outdoor-condensing-tankless-water-heater
</t>
        </r>
      </text>
    </comment>
    <comment ref="AO347" authorId="2" shapeId="0">
      <text>
        <r>
          <rPr>
            <b/>
            <sz val="9"/>
            <color indexed="81"/>
            <rFont val="Tahoma"/>
            <family val="2"/>
          </rPr>
          <t>Phillip Kelsven:</t>
        </r>
        <r>
          <rPr>
            <sz val="9"/>
            <color indexed="81"/>
            <rFont val="Tahoma"/>
            <family val="2"/>
          </rPr>
          <t xml:space="preserve">
http://www.faucetdepot.com/prod/Noritz-NRC98-OD-NG-Outdoor-9.8-Gpm-Natural-Gas-Condensing-Tankless-Water-Heater-141451.asp
</t>
        </r>
      </text>
    </comment>
    <comment ref="AP347" authorId="2" shapeId="0">
      <text>
        <r>
          <rPr>
            <b/>
            <sz val="9"/>
            <color indexed="81"/>
            <rFont val="Tahoma"/>
            <family val="2"/>
          </rPr>
          <t>Phillip Kelsven:</t>
        </r>
        <r>
          <rPr>
            <sz val="9"/>
            <color indexed="81"/>
            <rFont val="Tahoma"/>
            <family val="2"/>
          </rPr>
          <t xml:space="preserve">
http://www.pricegrabber.com
</t>
        </r>
      </text>
    </comment>
    <comment ref="AU347" authorId="2" shapeId="0">
      <text>
        <r>
          <rPr>
            <b/>
            <sz val="9"/>
            <color indexed="81"/>
            <rFont val="Tahoma"/>
            <family val="2"/>
          </rPr>
          <t>Phillip Kelsven:</t>
        </r>
        <r>
          <rPr>
            <sz val="9"/>
            <color indexed="81"/>
            <rFont val="Tahoma"/>
            <family val="2"/>
          </rPr>
          <t xml:space="preserve">
http://www.theenergyconscious.com</t>
        </r>
      </text>
    </comment>
    <comment ref="AL348" authorId="2" shapeId="0">
      <text>
        <r>
          <rPr>
            <b/>
            <sz val="9"/>
            <color indexed="81"/>
            <rFont val="Tahoma"/>
            <family val="2"/>
          </rPr>
          <t>Phillip Kelsven:</t>
        </r>
        <r>
          <rPr>
            <sz val="9"/>
            <color indexed="81"/>
            <rFont val="Tahoma"/>
            <family val="2"/>
          </rPr>
          <t xml:space="preserve">
http://ecomfort.com
</t>
        </r>
      </text>
    </comment>
    <comment ref="AS348" authorId="2" shapeId="0">
      <text>
        <r>
          <rPr>
            <b/>
            <sz val="9"/>
            <color indexed="81"/>
            <rFont val="Tahoma"/>
            <family val="2"/>
          </rPr>
          <t>Phillip Kelsven:</t>
        </r>
        <r>
          <rPr>
            <sz val="9"/>
            <color indexed="81"/>
            <rFont val="Tahoma"/>
            <family val="2"/>
          </rPr>
          <t xml:space="preserve">
http://shop.designerplumbing.com</t>
        </r>
      </text>
    </comment>
    <comment ref="AV348" authorId="2" shapeId="0">
      <text>
        <r>
          <rPr>
            <b/>
            <sz val="9"/>
            <color indexed="81"/>
            <rFont val="Tahoma"/>
            <family val="2"/>
          </rPr>
          <t>Phillip Kelsven:</t>
        </r>
        <r>
          <rPr>
            <sz val="9"/>
            <color indexed="81"/>
            <rFont val="Tahoma"/>
            <family val="2"/>
          </rPr>
          <t xml:space="preserve">
http://www.sears.com/noritz-protough-nr981-dvc-lp-residential-tankless-water/p-SP102A18042S6999341109?prdNo=17
</t>
        </r>
      </text>
    </comment>
    <comment ref="AQ349" authorId="2" shapeId="0">
      <text>
        <r>
          <rPr>
            <b/>
            <sz val="9"/>
            <color indexed="81"/>
            <rFont val="Tahoma"/>
            <family val="2"/>
          </rPr>
          <t>Phillip Kelsven:</t>
        </r>
        <r>
          <rPr>
            <sz val="9"/>
            <color indexed="81"/>
            <rFont val="Tahoma"/>
            <family val="2"/>
          </rPr>
          <t xml:space="preserve">
http://www.alpinehomeair.com/viewproduct.cfm?productID=453061611&amp;displaytab=instructions_brochures
</t>
        </r>
      </text>
    </comment>
    <comment ref="AW349" authorId="2" shapeId="0">
      <text>
        <r>
          <rPr>
            <b/>
            <sz val="9"/>
            <color indexed="81"/>
            <rFont val="Tahoma"/>
            <family val="2"/>
          </rPr>
          <t>Phillip Kelsven:</t>
        </r>
        <r>
          <rPr>
            <sz val="9"/>
            <color indexed="81"/>
            <rFont val="Tahoma"/>
            <family val="2"/>
          </rPr>
          <t xml:space="preserve">
http://www.homeclick.com
</t>
        </r>
      </text>
    </comment>
    <comment ref="AX350" authorId="2" shapeId="0">
      <text>
        <r>
          <rPr>
            <b/>
            <sz val="9"/>
            <color indexed="81"/>
            <rFont val="Tahoma"/>
            <family val="2"/>
          </rPr>
          <t>Phillip Kelsven:</t>
        </r>
        <r>
          <rPr>
            <sz val="9"/>
            <color indexed="81"/>
            <rFont val="Tahoma"/>
            <family val="2"/>
          </rPr>
          <t xml:space="preserve">
http://www.atanklesslife.com
</t>
        </r>
      </text>
    </comment>
    <comment ref="V356" authorId="1" shapeId="0">
      <text>
        <r>
          <rPr>
            <b/>
            <sz val="9"/>
            <color indexed="81"/>
            <rFont val="Tahoma"/>
            <family val="2"/>
          </rPr>
          <t>Mike Ting:</t>
        </r>
        <r>
          <rPr>
            <sz val="9"/>
            <color indexed="81"/>
            <rFont val="Tahoma"/>
            <family val="2"/>
          </rPr>
          <t xml:space="preserve">
No product specs specified in DEER or WPs</t>
        </r>
      </text>
    </comment>
    <comment ref="AD356"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356" authorId="2" shapeId="0">
      <text>
        <r>
          <rPr>
            <b/>
            <sz val="9"/>
            <color indexed="81"/>
            <rFont val="Tahoma"/>
            <family val="2"/>
          </rPr>
          <t>Phillip Kelsven:</t>
        </r>
        <r>
          <rPr>
            <sz val="9"/>
            <color indexed="81"/>
            <rFont val="Tahoma"/>
            <family val="2"/>
          </rPr>
          <t xml:space="preserve">
http://www.lowes.com
</t>
        </r>
      </text>
    </comment>
    <comment ref="AJ356" authorId="2" shapeId="0">
      <text>
        <r>
          <rPr>
            <b/>
            <sz val="9"/>
            <color indexed="81"/>
            <rFont val="Tahoma"/>
            <family val="2"/>
          </rPr>
          <t>Phillip Kelsven:</t>
        </r>
        <r>
          <rPr>
            <sz val="9"/>
            <color indexed="81"/>
            <rFont val="Tahoma"/>
            <family val="2"/>
          </rPr>
          <t xml:space="preserve">
http://www.sears.com
</t>
        </r>
      </text>
    </comment>
    <comment ref="AK356" authorId="2" shapeId="0">
      <text>
        <r>
          <rPr>
            <b/>
            <sz val="9"/>
            <color indexed="81"/>
            <rFont val="Tahoma"/>
            <family val="2"/>
          </rPr>
          <t>Phillip Kelsven:</t>
        </r>
        <r>
          <rPr>
            <sz val="9"/>
            <color indexed="81"/>
            <rFont val="Tahoma"/>
            <family val="2"/>
          </rPr>
          <t xml:space="preserve">
http://www.appliancesconnection.com
</t>
        </r>
      </text>
    </comment>
    <comment ref="AL356" authorId="2" shapeId="0">
      <text>
        <r>
          <rPr>
            <b/>
            <sz val="9"/>
            <color indexed="81"/>
            <rFont val="Tahoma"/>
            <family val="2"/>
          </rPr>
          <t>Phillip Kelsven:</t>
        </r>
        <r>
          <rPr>
            <sz val="9"/>
            <color indexed="81"/>
            <rFont val="Tahoma"/>
            <family val="2"/>
          </rPr>
          <t xml:space="preserve">
Phillip Kelsven:
http://www.amazon.com</t>
        </r>
      </text>
    </comment>
    <comment ref="AP357" authorId="2" shapeId="0">
      <text>
        <r>
          <rPr>
            <b/>
            <sz val="9"/>
            <color indexed="81"/>
            <rFont val="Tahoma"/>
            <family val="2"/>
          </rPr>
          <t>Phillip Kelsven:</t>
        </r>
        <r>
          <rPr>
            <sz val="9"/>
            <color indexed="81"/>
            <rFont val="Tahoma"/>
            <family val="2"/>
          </rPr>
          <t xml:space="preserve">
http://www.pexsupply.com
</t>
        </r>
      </text>
    </comment>
    <comment ref="AQ357" authorId="2" shapeId="0">
      <text>
        <r>
          <rPr>
            <b/>
            <sz val="9"/>
            <color indexed="81"/>
            <rFont val="Tahoma"/>
            <family val="2"/>
          </rPr>
          <t>Phillip Kelsven:</t>
        </r>
        <r>
          <rPr>
            <sz val="9"/>
            <color indexed="81"/>
            <rFont val="Tahoma"/>
            <family val="2"/>
          </rPr>
          <t xml:space="preserve">
http://hotwater1.com
</t>
        </r>
      </text>
    </comment>
    <comment ref="AM358" authorId="2" shapeId="0">
      <text>
        <r>
          <rPr>
            <b/>
            <sz val="9"/>
            <color indexed="81"/>
            <rFont val="Tahoma"/>
            <family val="2"/>
          </rPr>
          <t>Phillip Kelsven:</t>
        </r>
        <r>
          <rPr>
            <sz val="9"/>
            <color indexed="81"/>
            <rFont val="Tahoma"/>
            <family val="2"/>
          </rPr>
          <t xml:space="preserve">
http://www.theenergyconscious.com</t>
        </r>
      </text>
    </comment>
    <comment ref="AR358" authorId="2" shapeId="0">
      <text>
        <r>
          <rPr>
            <b/>
            <sz val="9"/>
            <color indexed="81"/>
            <rFont val="Tahoma"/>
            <family val="2"/>
          </rPr>
          <t>Phillip Kelsven:</t>
        </r>
        <r>
          <rPr>
            <sz val="9"/>
            <color indexed="81"/>
            <rFont val="Tahoma"/>
            <family val="2"/>
          </rPr>
          <t xml:space="preserve">
http://www.buyplumbingsupply.com
</t>
        </r>
      </text>
    </comment>
    <comment ref="AV358" authorId="2" shapeId="0">
      <text>
        <r>
          <rPr>
            <b/>
            <sz val="9"/>
            <color indexed="81"/>
            <rFont val="Tahoma"/>
            <family val="2"/>
          </rPr>
          <t>Phillip Kelsven:</t>
        </r>
        <r>
          <rPr>
            <sz val="9"/>
            <color indexed="81"/>
            <rFont val="Tahoma"/>
            <family val="2"/>
          </rPr>
          <t xml:space="preserve">
http://www.homedepot.com
</t>
        </r>
      </text>
    </comment>
    <comment ref="AN359" authorId="2" shapeId="0">
      <text>
        <r>
          <rPr>
            <b/>
            <sz val="9"/>
            <color indexed="81"/>
            <rFont val="Tahoma"/>
            <family val="2"/>
          </rPr>
          <t>Phillip Kelsven:</t>
        </r>
        <r>
          <rPr>
            <sz val="9"/>
            <color indexed="81"/>
            <rFont val="Tahoma"/>
            <family val="2"/>
          </rPr>
          <t xml:space="preserve">
http://www.ventingdirect.com</t>
        </r>
      </text>
    </comment>
    <comment ref="AO359" authorId="2" shapeId="0">
      <text>
        <r>
          <rPr>
            <b/>
            <sz val="9"/>
            <color indexed="81"/>
            <rFont val="Tahoma"/>
            <family val="2"/>
          </rPr>
          <t>Phillip Kelsven:</t>
        </r>
        <r>
          <rPr>
            <sz val="9"/>
            <color indexed="81"/>
            <rFont val="Tahoma"/>
            <family val="2"/>
          </rPr>
          <t xml:space="preserve">
Phillip Kelsven:
http://www.google.com/url?sa=t&amp;rct=j&amp;q=&amp;esrc=s&amp;source=web&amp;cd=24&amp;ved=0CE4QFjADOBQ&amp;url=http%3A%2F%2Fcatalog.standardsupplyco.com%2Fdefault.aspx%3Fpage%3Ditem%2520detail%26itemcode%3DRHEEM%2BHP40RH&amp;ei=M7fuUab3CoL-iQLu4ICYDg&amp;usg=AFQjCNHfolrh9rVB2jL-_By7Nh-qBfO2Bg&amp;sig2=aWc9Va2Ht1gaxLX7QxUp1w&amp;bvm=bv.49641647,d.cGE
</t>
        </r>
      </text>
    </comment>
    <comment ref="AS360" authorId="2" shapeId="0">
      <text>
        <r>
          <rPr>
            <b/>
            <sz val="9"/>
            <color indexed="81"/>
            <rFont val="Tahoma"/>
            <family val="2"/>
          </rPr>
          <t>Phillip Kelsven:</t>
        </r>
        <r>
          <rPr>
            <sz val="9"/>
            <color indexed="81"/>
            <rFont val="Tahoma"/>
            <family val="2"/>
          </rPr>
          <t xml:space="preserve">
http://www.homeperfect.com/ao-smith-phpt-80-80-gallon-voltex-residential-hybrid-electric-heat-pump-water-heater.html
</t>
        </r>
      </text>
    </comment>
    <comment ref="AT360" authorId="2" shapeId="0">
      <text>
        <r>
          <rPr>
            <b/>
            <sz val="9"/>
            <color indexed="81"/>
            <rFont val="Tahoma"/>
            <family val="2"/>
          </rPr>
          <t>Phillip Kelsven:</t>
        </r>
        <r>
          <rPr>
            <sz val="9"/>
            <color indexed="81"/>
            <rFont val="Tahoma"/>
            <family val="2"/>
          </rPr>
          <t xml:space="preserve">
http://www.acsuperstore.com</t>
        </r>
      </text>
    </comment>
    <comment ref="AU361" authorId="2" shapeId="0">
      <text>
        <r>
          <rPr>
            <b/>
            <sz val="9"/>
            <color indexed="81"/>
            <rFont val="Tahoma"/>
            <family val="2"/>
          </rPr>
          <t>Phillip Kelsven:</t>
        </r>
        <r>
          <rPr>
            <sz val="9"/>
            <color indexed="81"/>
            <rFont val="Tahoma"/>
            <family val="2"/>
          </rPr>
          <t xml:space="preserve">
http://www.buyplumbing.net</t>
        </r>
      </text>
    </comment>
    <comment ref="AI366" authorId="0" shapeId="0">
      <text>
        <r>
          <rPr>
            <b/>
            <sz val="9"/>
            <color indexed="81"/>
            <rFont val="Tahoma"/>
            <family val="2"/>
          </rPr>
          <t>Lucas Scheidler:</t>
        </r>
        <r>
          <rPr>
            <sz val="9"/>
            <color indexed="81"/>
            <rFont val="Tahoma"/>
            <family val="2"/>
          </rPr>
          <t xml:space="preserve">
www.build.com</t>
        </r>
      </text>
    </comment>
    <comment ref="AJ366" authorId="0" shapeId="0">
      <text>
        <r>
          <rPr>
            <b/>
            <sz val="9"/>
            <color indexed="81"/>
            <rFont val="Tahoma"/>
            <family val="2"/>
          </rPr>
          <t>Lucas Scheidler:</t>
        </r>
        <r>
          <rPr>
            <sz val="9"/>
            <color indexed="81"/>
            <rFont val="Tahoma"/>
            <family val="2"/>
          </rPr>
          <t xml:space="preserve">
www.buyplumbingsupply.com</t>
        </r>
      </text>
    </comment>
    <comment ref="AK366" authorId="0" shapeId="0">
      <text>
        <r>
          <rPr>
            <b/>
            <sz val="9"/>
            <color indexed="81"/>
            <rFont val="Tahoma"/>
            <family val="2"/>
          </rPr>
          <t>Lucas Scheidler:
www.globalindustrial.com</t>
        </r>
      </text>
    </comment>
    <comment ref="AL366" authorId="0" shapeId="0">
      <text>
        <r>
          <rPr>
            <b/>
            <sz val="9"/>
            <color indexed="81"/>
            <rFont val="Tahoma"/>
            <family val="2"/>
          </rPr>
          <t>Lucas Scheidler:</t>
        </r>
        <r>
          <rPr>
            <sz val="9"/>
            <color indexed="81"/>
            <rFont val="Tahoma"/>
            <family val="2"/>
          </rPr>
          <t xml:space="preserve">
www.pexsupply.com</t>
        </r>
      </text>
    </comment>
    <comment ref="AM366" authorId="0" shapeId="0">
      <text>
        <r>
          <rPr>
            <b/>
            <sz val="9"/>
            <color indexed="81"/>
            <rFont val="Tahoma"/>
            <family val="2"/>
          </rPr>
          <t>Lucas Scheidler:</t>
        </r>
        <r>
          <rPr>
            <sz val="9"/>
            <color indexed="81"/>
            <rFont val="Tahoma"/>
            <family val="2"/>
          </rPr>
          <t xml:space="preserve">
waterheaterstore.com</t>
        </r>
      </text>
    </comment>
    <comment ref="AN366" authorId="0" shapeId="0">
      <text>
        <r>
          <rPr>
            <b/>
            <sz val="9"/>
            <color indexed="81"/>
            <rFont val="Tahoma"/>
            <family val="2"/>
          </rPr>
          <t>Lucas Scheidler:</t>
        </r>
        <r>
          <rPr>
            <sz val="9"/>
            <color indexed="81"/>
            <rFont val="Tahoma"/>
            <family val="2"/>
          </rPr>
          <t xml:space="preserve">
www.wayfair.com</t>
        </r>
      </text>
    </comment>
    <comment ref="AO366" authorId="0" shapeId="0">
      <text>
        <r>
          <rPr>
            <b/>
            <sz val="9"/>
            <color indexed="81"/>
            <rFont val="Tahoma"/>
            <family val="2"/>
          </rPr>
          <t>Lucas Scheidler:</t>
        </r>
        <r>
          <rPr>
            <sz val="9"/>
            <color indexed="81"/>
            <rFont val="Tahoma"/>
            <family val="2"/>
          </rPr>
          <t xml:space="preserve">
www.wallingfordsales.com</t>
        </r>
      </text>
    </comment>
    <comment ref="AP366" authorId="0" shapeId="0">
      <text>
        <r>
          <rPr>
            <b/>
            <sz val="9"/>
            <color indexed="81"/>
            <rFont val="Tahoma"/>
            <family val="2"/>
          </rPr>
          <t>Lucas Scheidler:</t>
        </r>
        <r>
          <rPr>
            <sz val="9"/>
            <color indexed="81"/>
            <rFont val="Tahoma"/>
            <family val="2"/>
          </rPr>
          <t xml:space="preserve">
www.commercialwaterheaters.com</t>
        </r>
      </text>
    </comment>
    <comment ref="AQ366" authorId="0" shapeId="0">
      <text>
        <r>
          <rPr>
            <b/>
            <sz val="9"/>
            <color indexed="81"/>
            <rFont val="Tahoma"/>
            <family val="2"/>
          </rPr>
          <t>Lucas Scheidler:</t>
        </r>
        <r>
          <rPr>
            <sz val="9"/>
            <color indexed="81"/>
            <rFont val="Tahoma"/>
            <family val="2"/>
          </rPr>
          <t xml:space="preserve">
www.bostonheatingsupply.com</t>
        </r>
      </text>
    </comment>
    <comment ref="AR366" authorId="0" shapeId="0">
      <text>
        <r>
          <rPr>
            <b/>
            <sz val="9"/>
            <color indexed="81"/>
            <rFont val="Tahoma"/>
            <family val="2"/>
          </rPr>
          <t>Lucas Scheidler:</t>
        </r>
        <r>
          <rPr>
            <sz val="9"/>
            <color indexed="81"/>
            <rFont val="Tahoma"/>
            <family val="2"/>
          </rPr>
          <t xml:space="preserve">
www.grainger.com</t>
        </r>
      </text>
    </comment>
    <comment ref="AS366" authorId="0" shapeId="0">
      <text>
        <r>
          <rPr>
            <b/>
            <sz val="9"/>
            <color indexed="81"/>
            <rFont val="Tahoma"/>
            <family val="2"/>
          </rPr>
          <t>Lucas Scheidler:</t>
        </r>
        <r>
          <rPr>
            <sz val="9"/>
            <color indexed="81"/>
            <rFont val="Tahoma"/>
            <family val="2"/>
          </rPr>
          <t xml:space="preserve">
faucet.com</t>
        </r>
      </text>
    </comment>
    <comment ref="AT366" authorId="0" shapeId="0">
      <text>
        <r>
          <rPr>
            <b/>
            <sz val="9"/>
            <color indexed="81"/>
            <rFont val="Tahoma"/>
            <family val="2"/>
          </rPr>
          <t>Lucas Scheidler:</t>
        </r>
        <r>
          <rPr>
            <sz val="9"/>
            <color indexed="81"/>
            <rFont val="Tahoma"/>
            <family val="2"/>
          </rPr>
          <t xml:space="preserve">
newyorkwaterheaters.com</t>
        </r>
      </text>
    </comment>
    <comment ref="AU366" authorId="0" shapeId="0">
      <text>
        <r>
          <rPr>
            <b/>
            <sz val="9"/>
            <color indexed="81"/>
            <rFont val="Tahoma"/>
            <family val="2"/>
          </rPr>
          <t>Lucas Scheidler:</t>
        </r>
        <r>
          <rPr>
            <sz val="9"/>
            <color indexed="81"/>
            <rFont val="Tahoma"/>
            <family val="2"/>
          </rPr>
          <t xml:space="preserve">
plumbersurplus.com</t>
        </r>
      </text>
    </comment>
    <comment ref="AV366" authorId="0" shapeId="0">
      <text>
        <r>
          <rPr>
            <b/>
            <sz val="9"/>
            <color indexed="81"/>
            <rFont val="Tahoma"/>
            <family val="2"/>
          </rPr>
          <t>Lucas Scheidler:</t>
        </r>
        <r>
          <rPr>
            <sz val="9"/>
            <color indexed="81"/>
            <rFont val="Tahoma"/>
            <family val="2"/>
          </rPr>
          <t xml:space="preserve">
drillspot.com</t>
        </r>
      </text>
    </comment>
    <comment ref="AW366" authorId="0" shapeId="0">
      <text>
        <r>
          <rPr>
            <b/>
            <sz val="9"/>
            <color indexed="81"/>
            <rFont val="Tahoma"/>
            <family val="2"/>
          </rPr>
          <t>Lucas Scheidler:</t>
        </r>
        <r>
          <rPr>
            <sz val="9"/>
            <color indexed="81"/>
            <rFont val="Tahoma"/>
            <family val="2"/>
          </rPr>
          <t xml:space="preserve">
saberandsons.com</t>
        </r>
      </text>
    </comment>
    <comment ref="AX366" authorId="0" shapeId="0">
      <text>
        <r>
          <rPr>
            <b/>
            <sz val="9"/>
            <color indexed="81"/>
            <rFont val="Tahoma"/>
            <family val="2"/>
          </rPr>
          <t>Lucas Scheidler:</t>
        </r>
        <r>
          <rPr>
            <sz val="9"/>
            <color indexed="81"/>
            <rFont val="Tahoma"/>
            <family val="2"/>
          </rPr>
          <t xml:space="preserve">
amazon.com</t>
        </r>
      </text>
    </comment>
    <comment ref="AY366" authorId="0" shapeId="0">
      <text>
        <r>
          <rPr>
            <b/>
            <sz val="9"/>
            <color indexed="81"/>
            <rFont val="Tahoma"/>
            <family val="2"/>
          </rPr>
          <t>Lucas Scheidler:</t>
        </r>
        <r>
          <rPr>
            <sz val="9"/>
            <color indexed="81"/>
            <rFont val="Tahoma"/>
            <family val="2"/>
          </rPr>
          <t xml:space="preserve">
designerplumbing.com</t>
        </r>
      </text>
    </comment>
    <comment ref="AZ366" authorId="0" shapeId="0">
      <text>
        <r>
          <rPr>
            <b/>
            <sz val="9"/>
            <color indexed="81"/>
            <rFont val="Tahoma"/>
            <family val="2"/>
          </rPr>
          <t>Lucas Scheidler:</t>
        </r>
        <r>
          <rPr>
            <sz val="9"/>
            <color indexed="81"/>
            <rFont val="Tahoma"/>
            <family val="2"/>
          </rPr>
          <t xml:space="preserve">
homedepot.com</t>
        </r>
      </text>
    </comment>
    <comment ref="BA366" authorId="0" shapeId="0">
      <text>
        <r>
          <rPr>
            <b/>
            <sz val="9"/>
            <color indexed="81"/>
            <rFont val="Tahoma"/>
            <family val="2"/>
          </rPr>
          <t>Lucas Scheidler:</t>
        </r>
        <r>
          <rPr>
            <sz val="9"/>
            <color indexed="81"/>
            <rFont val="Tahoma"/>
            <family val="2"/>
          </rPr>
          <t xml:space="preserve">
consumersplumbing.com</t>
        </r>
      </text>
    </comment>
    <comment ref="AD367"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Q376" authorId="0" shapeId="0">
      <text>
        <r>
          <rPr>
            <b/>
            <sz val="9"/>
            <color indexed="81"/>
            <rFont val="Tahoma"/>
            <family val="2"/>
          </rPr>
          <t>Lucas Scheidler:</t>
        </r>
        <r>
          <rPr>
            <sz val="9"/>
            <color indexed="81"/>
            <rFont val="Tahoma"/>
            <family val="2"/>
          </rPr>
          <t xml:space="preserve">
These weights are from 2006 - 2012 CLASS. Weights are the following: AO Smith 30.92%,  and State 8.83%. No weighting  is applied, as it no brand had a significant coefficient.</t>
        </r>
      </text>
    </comment>
    <comment ref="AD392"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G392" authorId="1" shapeId="0">
      <text>
        <r>
          <rPr>
            <b/>
            <sz val="9"/>
            <color indexed="81"/>
            <rFont val="Tahoma"/>
            <family val="2"/>
          </rPr>
          <t>Mike Ting:</t>
        </r>
        <r>
          <rPr>
            <sz val="9"/>
            <color indexed="81"/>
            <rFont val="Tahoma"/>
            <family val="2"/>
          </rPr>
          <t xml:space="preserve">
unable to find 200 sqft coverage products</t>
        </r>
      </text>
    </comment>
    <comment ref="AK392" authorId="2" shapeId="0">
      <text>
        <r>
          <rPr>
            <b/>
            <sz val="9"/>
            <color indexed="81"/>
            <rFont val="Tahoma"/>
            <family val="2"/>
          </rPr>
          <t>Phillip Kelsven:</t>
        </r>
        <r>
          <rPr>
            <sz val="9"/>
            <color indexed="81"/>
            <rFont val="Tahoma"/>
            <family val="2"/>
          </rPr>
          <t xml:space="preserve">
http://shop.kendallelectric.com
</t>
        </r>
      </text>
    </comment>
    <comment ref="AL392" authorId="2" shapeId="0">
      <text>
        <r>
          <rPr>
            <b/>
            <sz val="9"/>
            <color indexed="81"/>
            <rFont val="Tahoma"/>
            <family val="2"/>
          </rPr>
          <t>Phillip Kelsven:</t>
        </r>
        <r>
          <rPr>
            <sz val="9"/>
            <color indexed="81"/>
            <rFont val="Tahoma"/>
            <family val="2"/>
          </rPr>
          <t xml:space="preserve">
webstore.servelectric.com
</t>
        </r>
      </text>
    </comment>
    <comment ref="AM392" authorId="2" shapeId="0">
      <text>
        <r>
          <rPr>
            <b/>
            <sz val="9"/>
            <color indexed="81"/>
            <rFont val="Tahoma"/>
            <family val="2"/>
          </rPr>
          <t>Phillip Kelsven:</t>
        </r>
        <r>
          <rPr>
            <sz val="9"/>
            <color indexed="81"/>
            <rFont val="Tahoma"/>
            <family val="2"/>
          </rPr>
          <t xml:space="preserve">
www.platt.com
</t>
        </r>
      </text>
    </comment>
    <comment ref="X393" authorId="1" shapeId="0">
      <text>
        <r>
          <rPr>
            <b/>
            <sz val="9"/>
            <color indexed="81"/>
            <rFont val="Tahoma"/>
            <family val="2"/>
          </rPr>
          <t>Mike Ting:</t>
        </r>
        <r>
          <rPr>
            <sz val="9"/>
            <color indexed="81"/>
            <rFont val="Tahoma"/>
            <family val="2"/>
          </rPr>
          <t xml:space="preserve">
unable to find 200 sqft coverage products</t>
        </r>
      </text>
    </comment>
    <comment ref="AJ393" authorId="2" shapeId="0">
      <text>
        <r>
          <rPr>
            <b/>
            <sz val="9"/>
            <color indexed="81"/>
            <rFont val="Tahoma"/>
            <family val="2"/>
          </rPr>
          <t>Phillip Kelsven:</t>
        </r>
        <r>
          <rPr>
            <sz val="9"/>
            <color indexed="81"/>
            <rFont val="Tahoma"/>
            <family val="2"/>
          </rPr>
          <t xml:space="preserve">
http://www.warehouse-lighting.com
</t>
        </r>
      </text>
    </comment>
    <comment ref="AR393" authorId="2" shapeId="0">
      <text>
        <r>
          <rPr>
            <b/>
            <sz val="9"/>
            <color indexed="81"/>
            <rFont val="Tahoma"/>
            <family val="2"/>
          </rPr>
          <t>Phillip Kelsven:</t>
        </r>
        <r>
          <rPr>
            <sz val="9"/>
            <color indexed="81"/>
            <rFont val="Tahoma"/>
            <family val="2"/>
          </rPr>
          <t xml:space="preserve">
http://www.readywholesaleelectric.com
</t>
        </r>
      </text>
    </comment>
    <comment ref="AI394" authorId="2" shapeId="0">
      <text>
        <r>
          <rPr>
            <b/>
            <sz val="9"/>
            <color indexed="81"/>
            <rFont val="Tahoma"/>
            <family val="2"/>
          </rPr>
          <t>Phillip Kelsven:</t>
        </r>
        <r>
          <rPr>
            <sz val="9"/>
            <color indexed="81"/>
            <rFont val="Tahoma"/>
            <family val="2"/>
          </rPr>
          <t xml:space="preserve">
http://www.kele.com</t>
        </r>
      </text>
    </comment>
    <comment ref="AJ394" authorId="2" shapeId="0">
      <text>
        <r>
          <rPr>
            <b/>
            <sz val="9"/>
            <color indexed="81"/>
            <rFont val="Tahoma"/>
            <family val="2"/>
          </rPr>
          <t>Phillip Kelsven:</t>
        </r>
        <r>
          <rPr>
            <sz val="9"/>
            <color indexed="81"/>
            <rFont val="Tahoma"/>
            <family val="2"/>
          </rPr>
          <t xml:space="preserve">
http://www.shamrocksupply.com</t>
        </r>
      </text>
    </comment>
    <comment ref="AS394" authorId="2" shapeId="0">
      <text>
        <r>
          <rPr>
            <b/>
            <sz val="9"/>
            <color indexed="81"/>
            <rFont val="Tahoma"/>
            <family val="2"/>
          </rPr>
          <t>Phillip Kelsven:</t>
        </r>
        <r>
          <rPr>
            <sz val="9"/>
            <color indexed="81"/>
            <rFont val="Tahoma"/>
            <family val="2"/>
          </rPr>
          <t xml:space="preserve">
http://www.goodmart.com</t>
        </r>
      </text>
    </comment>
    <comment ref="AT394" authorId="2" shapeId="0">
      <text>
        <r>
          <rPr>
            <b/>
            <sz val="9"/>
            <color indexed="81"/>
            <rFont val="Tahoma"/>
            <family val="2"/>
          </rPr>
          <t>Phillip Kelsven:</t>
        </r>
        <r>
          <rPr>
            <sz val="9"/>
            <color indexed="81"/>
            <rFont val="Tahoma"/>
            <family val="2"/>
          </rPr>
          <t xml:space="preserve">
www.northcoastelectric.com</t>
        </r>
      </text>
    </comment>
    <comment ref="AU394" authorId="0" shapeId="0">
      <text>
        <r>
          <rPr>
            <b/>
            <sz val="9"/>
            <color indexed="81"/>
            <rFont val="Tahoma"/>
            <family val="2"/>
          </rPr>
          <t>Lucas Scheidler:</t>
        </r>
        <r>
          <rPr>
            <sz val="9"/>
            <color indexed="81"/>
            <rFont val="Tahoma"/>
            <family val="2"/>
          </rPr>
          <t xml:space="preserve">
Average of artificial bids</t>
        </r>
      </text>
    </comment>
    <comment ref="AN395" authorId="2" shapeId="0">
      <text>
        <r>
          <rPr>
            <b/>
            <sz val="9"/>
            <color indexed="81"/>
            <rFont val="Tahoma"/>
            <family val="2"/>
          </rPr>
          <t>Phillip Kelsven:</t>
        </r>
        <r>
          <rPr>
            <sz val="9"/>
            <color indexed="81"/>
            <rFont val="Tahoma"/>
            <family val="2"/>
          </rPr>
          <t xml:space="preserve">
quest artificial bid</t>
        </r>
      </text>
    </comment>
    <comment ref="AO395" authorId="2" shapeId="0">
      <text>
        <r>
          <rPr>
            <b/>
            <sz val="9"/>
            <color indexed="81"/>
            <rFont val="Tahoma"/>
            <family val="2"/>
          </rPr>
          <t>Phillip Kelsven:</t>
        </r>
        <r>
          <rPr>
            <sz val="9"/>
            <color indexed="81"/>
            <rFont val="Tahoma"/>
            <family val="2"/>
          </rPr>
          <t xml:space="preserve">
quest artificial bid</t>
        </r>
      </text>
    </comment>
    <comment ref="AP395" authorId="2" shapeId="0">
      <text>
        <r>
          <rPr>
            <b/>
            <sz val="9"/>
            <color indexed="81"/>
            <rFont val="Tahoma"/>
            <family val="2"/>
          </rPr>
          <t>Phillip Kelsven:</t>
        </r>
        <r>
          <rPr>
            <sz val="9"/>
            <color indexed="81"/>
            <rFont val="Tahoma"/>
            <family val="2"/>
          </rPr>
          <t xml:space="preserve">
quest artificial bid</t>
        </r>
      </text>
    </comment>
    <comment ref="AQ395" authorId="2" shapeId="0">
      <text>
        <r>
          <rPr>
            <b/>
            <sz val="9"/>
            <color indexed="81"/>
            <rFont val="Tahoma"/>
            <family val="2"/>
          </rPr>
          <t>Phillip Kelsven:</t>
        </r>
        <r>
          <rPr>
            <sz val="9"/>
            <color indexed="81"/>
            <rFont val="Tahoma"/>
            <family val="2"/>
          </rPr>
          <t xml:space="preserve">
quest artificial bid</t>
        </r>
      </text>
    </comment>
    <comment ref="AU395" authorId="0" shapeId="0">
      <text>
        <r>
          <rPr>
            <b/>
            <sz val="9"/>
            <color indexed="81"/>
            <rFont val="Tahoma"/>
            <family val="2"/>
          </rPr>
          <t>Lucas Scheidler:</t>
        </r>
        <r>
          <rPr>
            <sz val="9"/>
            <color indexed="81"/>
            <rFont val="Tahoma"/>
            <family val="2"/>
          </rPr>
          <t xml:space="preserve">
Average of artificial bids</t>
        </r>
      </text>
    </comment>
    <comment ref="T401" authorId="0" shapeId="0">
      <text>
        <r>
          <rPr>
            <b/>
            <sz val="9"/>
            <color indexed="81"/>
            <rFont val="Tahoma"/>
            <family val="2"/>
          </rPr>
          <t>Lucas Scheidler:</t>
        </r>
        <r>
          <rPr>
            <sz val="9"/>
            <color indexed="81"/>
            <rFont val="Tahoma"/>
            <family val="2"/>
          </rPr>
          <t xml:space="preserve">
placeholder until we get contractor markups from EMCOR</t>
        </r>
      </text>
    </comment>
  </commentList>
</comments>
</file>

<file path=xl/comments5.xml><?xml version="1.0" encoding="utf-8"?>
<comments xmlns="http://schemas.openxmlformats.org/spreadsheetml/2006/main">
  <authors>
    <author>Lucas Scheidler</author>
  </authors>
  <commentList>
    <comment ref="AO2" authorId="0" shapeId="0">
      <text>
        <r>
          <rPr>
            <b/>
            <sz val="9"/>
            <color indexed="81"/>
            <rFont val="Tahoma"/>
            <family val="2"/>
          </rPr>
          <t>Lucas Scheidler:</t>
        </r>
        <r>
          <rPr>
            <sz val="9"/>
            <color indexed="81"/>
            <rFont val="Tahoma"/>
            <family val="2"/>
          </rPr>
          <t xml:space="preserve">
Labor hours and rates are from Q4 2013 RSMeans</t>
        </r>
      </text>
    </comment>
    <comment ref="G3" authorId="0" shapeId="0">
      <text>
        <r>
          <rPr>
            <b/>
            <sz val="9"/>
            <color indexed="81"/>
            <rFont val="Tahoma"/>
            <family val="2"/>
          </rPr>
          <t>Lucas Scheidler:</t>
        </r>
        <r>
          <rPr>
            <sz val="9"/>
            <color indexed="81"/>
            <rFont val="Tahoma"/>
            <family val="2"/>
          </rPr>
          <t xml:space="preserve">
Bare Labor - CA statewide</t>
        </r>
      </text>
    </comment>
    <comment ref="P3" authorId="0" shapeId="0">
      <text>
        <r>
          <rPr>
            <b/>
            <sz val="9"/>
            <color indexed="81"/>
            <rFont val="Tahoma"/>
            <family val="2"/>
          </rPr>
          <t>Lucas Scheidler:</t>
        </r>
        <r>
          <rPr>
            <sz val="9"/>
            <color indexed="81"/>
            <rFont val="Tahoma"/>
            <family val="2"/>
          </rPr>
          <t xml:space="preserve">
Bare Labor</t>
        </r>
      </text>
    </comment>
    <comment ref="K5" authorId="0" shapeId="0">
      <text>
        <r>
          <rPr>
            <b/>
            <sz val="9"/>
            <color indexed="81"/>
            <rFont val="Tahoma"/>
            <family val="2"/>
          </rPr>
          <t>Lucas Scheidler:</t>
        </r>
        <r>
          <rPr>
            <sz val="9"/>
            <color indexed="81"/>
            <rFont val="Tahoma"/>
            <family val="2"/>
          </rPr>
          <t xml:space="preserve">
RSMeasns average</t>
        </r>
      </text>
    </comment>
    <comment ref="U5" authorId="0" shapeId="0">
      <text>
        <r>
          <rPr>
            <b/>
            <sz val="9"/>
            <color indexed="81"/>
            <rFont val="Tahoma"/>
            <family val="2"/>
          </rPr>
          <t>Lucas Scheidler:</t>
        </r>
        <r>
          <rPr>
            <sz val="9"/>
            <color indexed="81"/>
            <rFont val="Tahoma"/>
            <family val="2"/>
          </rPr>
          <t xml:space="preserve">
RSMeans item 235416.13</t>
        </r>
      </text>
    </comment>
    <comment ref="AP5" authorId="0" shapeId="0">
      <text>
        <r>
          <rPr>
            <b/>
            <sz val="9"/>
            <color indexed="81"/>
            <rFont val="Tahoma"/>
            <family val="2"/>
          </rPr>
          <t>Lucas Scheidler:</t>
        </r>
        <r>
          <rPr>
            <sz val="9"/>
            <color indexed="81"/>
            <rFont val="Tahoma"/>
            <family val="2"/>
          </rPr>
          <t xml:space="preserve">
National Average - crew Q-9</t>
        </r>
      </text>
    </comment>
    <comment ref="E17" authorId="0" shapeId="0">
      <text>
        <r>
          <rPr>
            <b/>
            <sz val="9"/>
            <color indexed="81"/>
            <rFont val="Tahoma"/>
            <family val="2"/>
          </rPr>
          <t>Lucas Scheidler:</t>
        </r>
        <r>
          <rPr>
            <sz val="9"/>
            <color indexed="81"/>
            <rFont val="Tahoma"/>
            <family val="2"/>
          </rPr>
          <t xml:space="preserve">
Based on 5 ton unit</t>
        </r>
      </text>
    </comment>
    <comment ref="I17" authorId="0" shapeId="0">
      <text>
        <r>
          <rPr>
            <b/>
            <sz val="9"/>
            <color indexed="81"/>
            <rFont val="Tahoma"/>
            <family val="2"/>
          </rPr>
          <t>Lucas Scheidler:</t>
        </r>
        <r>
          <rPr>
            <sz val="9"/>
            <color indexed="81"/>
            <rFont val="Tahoma"/>
            <family val="2"/>
          </rPr>
          <t xml:space="preserve">
disposal - based on a 5 ton unit</t>
        </r>
      </text>
    </comment>
    <comment ref="J17" authorId="0" shapeId="0">
      <text>
        <r>
          <rPr>
            <b/>
            <sz val="9"/>
            <color indexed="81"/>
            <rFont val="Tahoma"/>
            <family val="2"/>
          </rPr>
          <t>Lucas Scheidler:</t>
        </r>
        <r>
          <rPr>
            <sz val="9"/>
            <color indexed="81"/>
            <rFont val="Tahoma"/>
            <family val="2"/>
          </rPr>
          <t xml:space="preserve">
Crane rental  - based on 5 ton unit</t>
        </r>
      </text>
    </comment>
    <comment ref="O17" authorId="0" shapeId="0">
      <text>
        <r>
          <rPr>
            <b/>
            <sz val="9"/>
            <color indexed="81"/>
            <rFont val="Tahoma"/>
            <family val="2"/>
          </rPr>
          <t>Lucas Scheidler:</t>
        </r>
        <r>
          <rPr>
            <sz val="9"/>
            <color indexed="81"/>
            <rFont val="Tahoma"/>
            <family val="2"/>
          </rPr>
          <t xml:space="preserve">
Based on 3
 ton unit</t>
        </r>
      </text>
    </comment>
    <comment ref="W17" authorId="0" shapeId="0">
      <text>
        <r>
          <rPr>
            <b/>
            <sz val="9"/>
            <color indexed="81"/>
            <rFont val="Tahoma"/>
            <family val="2"/>
          </rPr>
          <t>Lucas Scheidler:
EMCOR - does not include markup</t>
        </r>
      </text>
    </comment>
    <comment ref="X17" authorId="0" shapeId="0">
      <text>
        <r>
          <rPr>
            <b/>
            <sz val="9"/>
            <color indexed="81"/>
            <rFont val="Tahoma"/>
            <family val="2"/>
          </rPr>
          <t>Lucas Scheidler:</t>
        </r>
        <r>
          <rPr>
            <sz val="9"/>
            <color indexed="81"/>
            <rFont val="Tahoma"/>
            <family val="2"/>
          </rPr>
          <t xml:space="preserve">
EMCOR - does not include markup</t>
        </r>
      </text>
    </comment>
    <comment ref="Y17" authorId="0" shape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Z17" authorId="0" shapeId="0">
      <text>
        <r>
          <rPr>
            <b/>
            <sz val="9"/>
            <color indexed="81"/>
            <rFont val="Tahoma"/>
            <family val="2"/>
          </rPr>
          <t>Lucas Scheidler:</t>
        </r>
        <r>
          <rPr>
            <sz val="9"/>
            <color indexed="81"/>
            <rFont val="Tahoma"/>
            <family val="2"/>
          </rPr>
          <t xml:space="preserve">
EMCOR - includes sign  crane / set condenser - does not include markup</t>
        </r>
      </text>
    </comment>
    <comment ref="AA1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7" authorId="0" shapeId="0">
      <text>
        <r>
          <rPr>
            <b/>
            <sz val="9"/>
            <color indexed="81"/>
            <rFont val="Tahoma"/>
            <family val="2"/>
          </rPr>
          <t>Lucas Scheidler:
EMCOR - does not include markup</t>
        </r>
      </text>
    </comment>
    <comment ref="AD17" authorId="0" shapeId="0">
      <text>
        <r>
          <rPr>
            <b/>
            <sz val="9"/>
            <color indexed="81"/>
            <rFont val="Tahoma"/>
            <family val="2"/>
          </rPr>
          <t>Lucas Scheidler:</t>
        </r>
        <r>
          <rPr>
            <sz val="9"/>
            <color indexed="81"/>
            <rFont val="Tahoma"/>
            <family val="2"/>
          </rPr>
          <t xml:space="preserve">
EMCOR - does not include markup</t>
        </r>
      </text>
    </comment>
    <comment ref="AE17" authorId="0" shape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AF17" authorId="0" shapeId="0">
      <text>
        <r>
          <rPr>
            <b/>
            <sz val="9"/>
            <color indexed="81"/>
            <rFont val="Tahoma"/>
            <family val="2"/>
          </rPr>
          <t>Lucas Scheidler:</t>
        </r>
        <r>
          <rPr>
            <sz val="9"/>
            <color indexed="81"/>
            <rFont val="Tahoma"/>
            <family val="2"/>
          </rPr>
          <t xml:space="preserve">
EMCOR - includes sign  crane / set condenser - does not include markup</t>
        </r>
      </text>
    </comment>
    <comment ref="AG17" authorId="0" shapeId="0">
      <text>
        <r>
          <rPr>
            <b/>
            <sz val="9"/>
            <color indexed="81"/>
            <rFont val="Tahoma"/>
            <family val="2"/>
          </rPr>
          <t>Lucas Scheidler:</t>
        </r>
        <r>
          <rPr>
            <sz val="9"/>
            <color indexed="81"/>
            <rFont val="Tahoma"/>
            <family val="2"/>
          </rPr>
          <t xml:space="preserve">
EMCOR - project mgmt, warranty - Does not include markup
</t>
        </r>
      </text>
    </comment>
    <comment ref="K18" authorId="0" shapeId="0">
      <text>
        <r>
          <rPr>
            <b/>
            <sz val="9"/>
            <color indexed="81"/>
            <rFont val="Tahoma"/>
            <family val="2"/>
          </rPr>
          <t>Lucas Scheidler:</t>
        </r>
        <r>
          <rPr>
            <sz val="9"/>
            <color indexed="81"/>
            <rFont val="Tahoma"/>
            <family val="2"/>
          </rPr>
          <t xml:space="preserve">
average markup of bids</t>
        </r>
      </text>
    </comment>
    <comment ref="O18" authorId="0" shapeId="0">
      <text>
        <r>
          <rPr>
            <b/>
            <sz val="9"/>
            <color indexed="81"/>
            <rFont val="Tahoma"/>
            <family val="2"/>
          </rPr>
          <t>Lucas Scheidler:</t>
        </r>
        <r>
          <rPr>
            <sz val="9"/>
            <color indexed="81"/>
            <rFont val="Tahoma"/>
            <family val="2"/>
          </rPr>
          <t xml:space="preserve">
Based on 3 ton unit</t>
        </r>
      </text>
    </comment>
    <comment ref="U18"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19" authorId="0" shapeId="0">
      <text>
        <r>
          <rPr>
            <b/>
            <sz val="9"/>
            <color indexed="81"/>
            <rFont val="Tahoma"/>
            <family val="2"/>
          </rPr>
          <t>Lucas Scheidler:</t>
        </r>
        <r>
          <rPr>
            <sz val="9"/>
            <color indexed="81"/>
            <rFont val="Tahoma"/>
            <family val="2"/>
          </rPr>
          <t xml:space="preserve">
based on a 3 ton unit
</t>
        </r>
      </text>
    </comment>
    <comment ref="O19" authorId="0" shapeId="0">
      <text>
        <r>
          <rPr>
            <b/>
            <sz val="9"/>
            <color indexed="81"/>
            <rFont val="Tahoma"/>
            <family val="2"/>
          </rPr>
          <t>Lucas Scheidler:</t>
        </r>
        <r>
          <rPr>
            <sz val="9"/>
            <color indexed="81"/>
            <rFont val="Tahoma"/>
            <family val="2"/>
          </rPr>
          <t xml:space="preserve">
based on a 3 ton unit</t>
        </r>
      </text>
    </comment>
    <comment ref="U19"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20"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21"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22"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23" authorId="0" shapeId="0">
      <text>
        <r>
          <rPr>
            <b/>
            <sz val="9"/>
            <color indexed="81"/>
            <rFont val="Tahoma"/>
            <family val="2"/>
          </rPr>
          <t>Lucas Scheidler:</t>
        </r>
        <r>
          <rPr>
            <sz val="9"/>
            <color indexed="81"/>
            <rFont val="Tahoma"/>
            <family val="2"/>
          </rPr>
          <t xml:space="preserve">
RSMeans item 238143</t>
        </r>
      </text>
    </comment>
    <comment ref="AP23" authorId="0" shapeId="0">
      <text>
        <r>
          <rPr>
            <b/>
            <sz val="9"/>
            <color indexed="81"/>
            <rFont val="Tahoma"/>
            <family val="2"/>
          </rPr>
          <t>Lucas Scheidler:</t>
        </r>
        <r>
          <rPr>
            <sz val="9"/>
            <color indexed="81"/>
            <rFont val="Tahoma"/>
            <family val="2"/>
          </rPr>
          <t xml:space="preserve">
National Average - crew Q-5
</t>
        </r>
      </text>
    </comment>
    <comment ref="U30" authorId="0" shapeId="0">
      <text>
        <r>
          <rPr>
            <b/>
            <sz val="9"/>
            <color indexed="81"/>
            <rFont val="Tahoma"/>
            <family val="2"/>
          </rPr>
          <t>Lucas Scheidler:</t>
        </r>
        <r>
          <rPr>
            <sz val="9"/>
            <color indexed="81"/>
            <rFont val="Tahoma"/>
            <family val="2"/>
          </rPr>
          <t xml:space="preserve">
Rsmean item 238219.2</t>
        </r>
      </text>
    </comment>
    <comment ref="AP30" authorId="0" shapeId="0">
      <text>
        <r>
          <rPr>
            <b/>
            <sz val="9"/>
            <color indexed="81"/>
            <rFont val="Tahoma"/>
            <family val="2"/>
          </rPr>
          <t>Lucas Scheidler:</t>
        </r>
        <r>
          <rPr>
            <sz val="9"/>
            <color indexed="81"/>
            <rFont val="Tahoma"/>
            <family val="2"/>
          </rPr>
          <t xml:space="preserve">
National Average - crew Q-6
</t>
        </r>
      </text>
    </comment>
    <comment ref="V35" authorId="0" shapeId="0">
      <text>
        <r>
          <rPr>
            <b/>
            <sz val="9"/>
            <color indexed="81"/>
            <rFont val="Tahoma"/>
            <family val="2"/>
          </rPr>
          <t>Lucas Scheidler:</t>
        </r>
        <r>
          <rPr>
            <sz val="9"/>
            <color indexed="81"/>
            <rFont val="Tahoma"/>
            <family val="2"/>
          </rPr>
          <t xml:space="preserve">
implied hours based on DOE TSD installed cost and artificial bid hourly rate
</t>
        </r>
      </text>
    </comment>
    <comment ref="W35" authorId="0" shapeId="0">
      <text>
        <r>
          <rPr>
            <b/>
            <sz val="9"/>
            <color indexed="81"/>
            <rFont val="Tahoma"/>
            <family val="2"/>
          </rPr>
          <t>Lucas Scheidler:</t>
        </r>
        <r>
          <rPr>
            <sz val="9"/>
            <color indexed="81"/>
            <rFont val="Tahoma"/>
            <family val="2"/>
          </rPr>
          <t xml:space="preserve">
average from artificial bids
</t>
        </r>
      </text>
    </comment>
    <comment ref="X35" authorId="0" shapeId="0">
      <text>
        <r>
          <rPr>
            <b/>
            <sz val="9"/>
            <color indexed="81"/>
            <rFont val="Tahoma"/>
            <family val="2"/>
          </rPr>
          <t>Lucas Scheidler:</t>
        </r>
        <r>
          <rPr>
            <sz val="9"/>
            <color indexed="81"/>
            <rFont val="Tahoma"/>
            <family val="2"/>
          </rPr>
          <t xml:space="preserve">
DOE TSD base cost national average cost of $561 times the CA state multiplier 1.297</t>
        </r>
      </text>
    </comment>
    <comment ref="E37" authorId="0" shapeId="0">
      <text>
        <r>
          <rPr>
            <b/>
            <sz val="9"/>
            <color indexed="81"/>
            <rFont val="Tahoma"/>
            <family val="2"/>
          </rPr>
          <t>Lucas Scheidler:</t>
        </r>
        <r>
          <rPr>
            <sz val="9"/>
            <color indexed="81"/>
            <rFont val="Tahoma"/>
            <family val="2"/>
          </rPr>
          <t xml:space="preserve">
Based on 5 ton unit</t>
        </r>
      </text>
    </comment>
    <comment ref="I37" authorId="0" shapeId="0">
      <text>
        <r>
          <rPr>
            <b/>
            <sz val="9"/>
            <color indexed="81"/>
            <rFont val="Tahoma"/>
            <family val="2"/>
          </rPr>
          <t>Lucas Scheidler:</t>
        </r>
        <r>
          <rPr>
            <sz val="9"/>
            <color indexed="81"/>
            <rFont val="Tahoma"/>
            <family val="2"/>
          </rPr>
          <t xml:space="preserve">
disposal - based on a 5 ton unit</t>
        </r>
      </text>
    </comment>
    <comment ref="J37" authorId="0" shapeId="0">
      <text>
        <r>
          <rPr>
            <b/>
            <sz val="9"/>
            <color indexed="81"/>
            <rFont val="Tahoma"/>
            <family val="2"/>
          </rPr>
          <t>Lucas Scheidler:</t>
        </r>
        <r>
          <rPr>
            <sz val="9"/>
            <color indexed="81"/>
            <rFont val="Tahoma"/>
            <family val="2"/>
          </rPr>
          <t xml:space="preserve">
Crane rental  - based on 5 ton unit</t>
        </r>
      </text>
    </comment>
    <comment ref="O37" authorId="0" shapeId="0">
      <text>
        <r>
          <rPr>
            <b/>
            <sz val="9"/>
            <color indexed="81"/>
            <rFont val="Tahoma"/>
            <family val="2"/>
          </rPr>
          <t>Lucas Scheidler:</t>
        </r>
        <r>
          <rPr>
            <sz val="9"/>
            <color indexed="81"/>
            <rFont val="Tahoma"/>
            <family val="2"/>
          </rPr>
          <t xml:space="preserve">
Based on 3 ton unit</t>
        </r>
      </text>
    </comment>
    <comment ref="W37" authorId="0" shapeId="0">
      <text>
        <r>
          <rPr>
            <b/>
            <sz val="9"/>
            <color indexed="81"/>
            <rFont val="Tahoma"/>
            <family val="2"/>
          </rPr>
          <t>Lucas Scheidler:
EMCOR - does not include markup</t>
        </r>
      </text>
    </comment>
    <comment ref="X37" authorId="0" shapeId="0">
      <text>
        <r>
          <rPr>
            <b/>
            <sz val="9"/>
            <color indexed="81"/>
            <rFont val="Tahoma"/>
            <family val="2"/>
          </rPr>
          <t>Lucas Scheidler:</t>
        </r>
        <r>
          <rPr>
            <sz val="9"/>
            <color indexed="81"/>
            <rFont val="Tahoma"/>
            <family val="2"/>
          </rPr>
          <t xml:space="preserve">
EMCOR - does not include markup</t>
        </r>
      </text>
    </comment>
    <comment ref="Y37" authorId="0" shape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Z37" authorId="0" shapeId="0">
      <text>
        <r>
          <rPr>
            <b/>
            <sz val="9"/>
            <color indexed="81"/>
            <rFont val="Tahoma"/>
            <family val="2"/>
          </rPr>
          <t>Lucas Scheidler:</t>
        </r>
        <r>
          <rPr>
            <sz val="9"/>
            <color indexed="81"/>
            <rFont val="Tahoma"/>
            <family val="2"/>
          </rPr>
          <t xml:space="preserve">
EMCOR - includes sign  crane / set condenser - does not include markup</t>
        </r>
      </text>
    </comment>
    <comment ref="AA3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37" authorId="0" shapeId="0">
      <text>
        <r>
          <rPr>
            <b/>
            <sz val="9"/>
            <color indexed="81"/>
            <rFont val="Tahoma"/>
            <family val="2"/>
          </rPr>
          <t>Lucas Scheidler:
EMCOR - does not include markup</t>
        </r>
      </text>
    </comment>
    <comment ref="AD37" authorId="0" shapeId="0">
      <text>
        <r>
          <rPr>
            <b/>
            <sz val="9"/>
            <color indexed="81"/>
            <rFont val="Tahoma"/>
            <family val="2"/>
          </rPr>
          <t>Lucas Scheidler:</t>
        </r>
        <r>
          <rPr>
            <sz val="9"/>
            <color indexed="81"/>
            <rFont val="Tahoma"/>
            <family val="2"/>
          </rPr>
          <t xml:space="preserve">
EMCOR - does not include markup</t>
        </r>
      </text>
    </comment>
    <comment ref="AE37" authorId="0" shape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AF37" authorId="0" shapeId="0">
      <text>
        <r>
          <rPr>
            <b/>
            <sz val="9"/>
            <color indexed="81"/>
            <rFont val="Tahoma"/>
            <family val="2"/>
          </rPr>
          <t>Lucas Scheidler:</t>
        </r>
        <r>
          <rPr>
            <sz val="9"/>
            <color indexed="81"/>
            <rFont val="Tahoma"/>
            <family val="2"/>
          </rPr>
          <t xml:space="preserve">
EMCOR - includes sign  crane / set condenser - does not include markup</t>
        </r>
      </text>
    </comment>
    <comment ref="AG37" authorId="0" shapeId="0">
      <text>
        <r>
          <rPr>
            <b/>
            <sz val="9"/>
            <color indexed="81"/>
            <rFont val="Tahoma"/>
            <family val="2"/>
          </rPr>
          <t>Lucas Scheidler:</t>
        </r>
        <r>
          <rPr>
            <sz val="9"/>
            <color indexed="81"/>
            <rFont val="Tahoma"/>
            <family val="2"/>
          </rPr>
          <t xml:space="preserve">
EMCOR - project mgmt, warranty - Does not include markup
</t>
        </r>
      </text>
    </comment>
    <comment ref="K38" authorId="0" shapeId="0">
      <text>
        <r>
          <rPr>
            <b/>
            <sz val="9"/>
            <color indexed="81"/>
            <rFont val="Tahoma"/>
            <family val="2"/>
          </rPr>
          <t>Lucas Scheidler:</t>
        </r>
        <r>
          <rPr>
            <sz val="9"/>
            <color indexed="81"/>
            <rFont val="Tahoma"/>
            <family val="2"/>
          </rPr>
          <t xml:space="preserve">
average markup of bids</t>
        </r>
      </text>
    </comment>
    <comment ref="O38" authorId="0" shapeId="0">
      <text>
        <r>
          <rPr>
            <b/>
            <sz val="9"/>
            <color indexed="81"/>
            <rFont val="Tahoma"/>
            <family val="2"/>
          </rPr>
          <t>Lucas Scheidler:</t>
        </r>
        <r>
          <rPr>
            <sz val="9"/>
            <color indexed="81"/>
            <rFont val="Tahoma"/>
            <family val="2"/>
          </rPr>
          <t xml:space="preserve">
Based on 3 ton unit</t>
        </r>
      </text>
    </comment>
    <comment ref="U38"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39" authorId="0" shapeId="0">
      <text>
        <r>
          <rPr>
            <b/>
            <sz val="9"/>
            <color indexed="81"/>
            <rFont val="Tahoma"/>
            <family val="2"/>
          </rPr>
          <t>Lucas Scheidler:</t>
        </r>
        <r>
          <rPr>
            <sz val="9"/>
            <color indexed="81"/>
            <rFont val="Tahoma"/>
            <family val="2"/>
          </rPr>
          <t xml:space="preserve">
based on a 3 ton unit
</t>
        </r>
      </text>
    </comment>
    <comment ref="O39" authorId="0" shapeId="0">
      <text>
        <r>
          <rPr>
            <b/>
            <sz val="9"/>
            <color indexed="81"/>
            <rFont val="Tahoma"/>
            <family val="2"/>
          </rPr>
          <t>Lucas Scheidler:</t>
        </r>
        <r>
          <rPr>
            <sz val="9"/>
            <color indexed="81"/>
            <rFont val="Tahoma"/>
            <family val="2"/>
          </rPr>
          <t xml:space="preserve">
based on a 3 ton unit</t>
        </r>
      </text>
    </comment>
    <comment ref="U39"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40"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41"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42"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43" authorId="0" shapeId="0">
      <text>
        <r>
          <rPr>
            <b/>
            <sz val="9"/>
            <color indexed="81"/>
            <rFont val="Tahoma"/>
            <family val="2"/>
          </rPr>
          <t>Lucas Scheidler:</t>
        </r>
        <r>
          <rPr>
            <sz val="9"/>
            <color indexed="81"/>
            <rFont val="Tahoma"/>
            <family val="2"/>
          </rPr>
          <t xml:space="preserve">
RSMeans item 238126</t>
        </r>
      </text>
    </comment>
    <comment ref="AP43" authorId="0" shapeId="0">
      <text>
        <r>
          <rPr>
            <b/>
            <sz val="9"/>
            <color indexed="81"/>
            <rFont val="Tahoma"/>
            <family val="2"/>
          </rPr>
          <t>Lucas Scheidler:</t>
        </r>
        <r>
          <rPr>
            <sz val="9"/>
            <color indexed="81"/>
            <rFont val="Tahoma"/>
            <family val="2"/>
          </rPr>
          <t xml:space="preserve">
National Average - crew Q-5
</t>
        </r>
      </text>
    </comment>
    <comment ref="U48" authorId="0" shapeId="0">
      <text>
        <r>
          <rPr>
            <b/>
            <sz val="9"/>
            <color indexed="81"/>
            <rFont val="Tahoma"/>
            <family val="2"/>
          </rPr>
          <t>Lucas Scheidler:</t>
        </r>
        <r>
          <rPr>
            <sz val="9"/>
            <color indexed="81"/>
            <rFont val="Tahoma"/>
            <family val="2"/>
          </rPr>
          <t xml:space="preserve">
RSMeans item 238219.1</t>
        </r>
      </text>
    </comment>
    <comment ref="V55" authorId="0" shapeId="0">
      <text>
        <r>
          <rPr>
            <b/>
            <sz val="9"/>
            <color indexed="81"/>
            <rFont val="Tahoma"/>
            <family val="2"/>
          </rPr>
          <t>Lucas Scheidler:</t>
        </r>
        <r>
          <rPr>
            <sz val="9"/>
            <color indexed="81"/>
            <rFont val="Tahoma"/>
            <family val="2"/>
          </rPr>
          <t xml:space="preserve">
implied hours based on DOE TSD installed cost and artificial bid hourly rate
</t>
        </r>
      </text>
    </comment>
    <comment ref="W55" authorId="0" shapeId="0">
      <text>
        <r>
          <rPr>
            <b/>
            <sz val="9"/>
            <color indexed="81"/>
            <rFont val="Tahoma"/>
            <family val="2"/>
          </rPr>
          <t>Lucas Scheidler:</t>
        </r>
        <r>
          <rPr>
            <sz val="9"/>
            <color indexed="81"/>
            <rFont val="Tahoma"/>
            <family val="2"/>
          </rPr>
          <t xml:space="preserve">
average from artificial bids
</t>
        </r>
      </text>
    </comment>
    <comment ref="X55" authorId="0" shapeId="0">
      <text>
        <r>
          <rPr>
            <b/>
            <sz val="9"/>
            <color indexed="81"/>
            <rFont val="Tahoma"/>
            <family val="2"/>
          </rPr>
          <t>Lucas Scheidler:</t>
        </r>
        <r>
          <rPr>
            <sz val="9"/>
            <color indexed="81"/>
            <rFont val="Tahoma"/>
            <family val="2"/>
          </rPr>
          <t xml:space="preserve">
DOE TSD base cost national average cost of $511 times the CA state multiplier 1.297</t>
        </r>
      </text>
    </comment>
    <comment ref="K57" authorId="0" shapeId="0">
      <text>
        <r>
          <rPr>
            <b/>
            <sz val="9"/>
            <color indexed="81"/>
            <rFont val="Tahoma"/>
            <family val="2"/>
          </rPr>
          <t>Lucas Scheidler:
RSMeans average</t>
        </r>
      </text>
    </comment>
    <comment ref="U57" authorId="0" shapeId="0">
      <text>
        <r>
          <rPr>
            <b/>
            <sz val="9"/>
            <color indexed="81"/>
            <rFont val="Tahoma"/>
            <family val="2"/>
          </rPr>
          <t>Lucas Scheidler:</t>
        </r>
        <r>
          <rPr>
            <sz val="9"/>
            <color indexed="81"/>
            <rFont val="Tahoma"/>
            <family val="2"/>
          </rPr>
          <t xml:space="preserve">
RSMeans item 233414</t>
        </r>
      </text>
    </comment>
    <comment ref="AP57" authorId="0" shapeId="0">
      <text>
        <r>
          <rPr>
            <b/>
            <sz val="9"/>
            <color indexed="81"/>
            <rFont val="Tahoma"/>
            <family val="2"/>
          </rPr>
          <t>Lucas Scheidler:</t>
        </r>
        <r>
          <rPr>
            <sz val="9"/>
            <color indexed="81"/>
            <rFont val="Tahoma"/>
            <family val="2"/>
          </rPr>
          <t xml:space="preserve">
National Average crew Q-20</t>
        </r>
      </text>
    </comment>
    <comment ref="U66" authorId="0" shapeId="0">
      <text>
        <r>
          <rPr>
            <b/>
            <sz val="9"/>
            <color indexed="81"/>
            <rFont val="Tahoma"/>
            <family val="2"/>
          </rPr>
          <t>Lucas Scheidler:</t>
        </r>
        <r>
          <rPr>
            <sz val="9"/>
            <color indexed="81"/>
            <rFont val="Tahoma"/>
            <family val="2"/>
          </rPr>
          <t xml:space="preserve">
NREL, Jan, 2014. Evaluation of Retrofit Variable-Speed Furnace Fan Motors. http://www.nrel.gov/docs/fy14osti/60760.pdf</t>
        </r>
      </text>
    </comment>
    <comment ref="V66" authorId="0" shapeId="0">
      <text>
        <r>
          <rPr>
            <b/>
            <sz val="9"/>
            <color indexed="81"/>
            <rFont val="Tahoma"/>
            <family val="2"/>
          </rPr>
          <t>Lucas Scheidler:</t>
        </r>
        <r>
          <rPr>
            <sz val="9"/>
            <color indexed="81"/>
            <rFont val="Tahoma"/>
            <family val="2"/>
          </rPr>
          <t xml:space="preserve">
Simple Average of 8 data points for retrofits of PSM motors with Concept 3 motors</t>
        </r>
      </text>
    </comment>
    <comment ref="K72" authorId="0" shapeId="0">
      <text>
        <r>
          <rPr>
            <b/>
            <sz val="9"/>
            <color indexed="81"/>
            <rFont val="Tahoma"/>
            <family val="2"/>
          </rPr>
          <t>Lucas Scheidler:</t>
        </r>
        <r>
          <rPr>
            <sz val="9"/>
            <color indexed="81"/>
            <rFont val="Tahoma"/>
            <family val="2"/>
          </rPr>
          <t xml:space="preserve">
average RSMeans</t>
        </r>
      </text>
    </comment>
    <comment ref="M72" authorId="0" shapeId="0">
      <text>
        <r>
          <rPr>
            <b/>
            <sz val="9"/>
            <color indexed="81"/>
            <rFont val="Tahoma"/>
            <family val="2"/>
          </rPr>
          <t>Lucas Scheidler:</t>
        </r>
        <r>
          <rPr>
            <sz val="9"/>
            <color indexed="81"/>
            <rFont val="Tahoma"/>
            <family val="2"/>
          </rPr>
          <t xml:space="preserve">
workpapers refer to DEER 2011, which refers to Means and gives the same values at left</t>
        </r>
      </text>
    </comment>
    <comment ref="U72" authorId="0" shapeId="0">
      <text>
        <r>
          <rPr>
            <b/>
            <sz val="9"/>
            <color indexed="81"/>
            <rFont val="Tahoma"/>
            <family val="2"/>
          </rPr>
          <t>Lucas Scheidler:</t>
        </r>
        <r>
          <rPr>
            <sz val="9"/>
            <color indexed="81"/>
            <rFont val="Tahoma"/>
            <family val="2"/>
          </rPr>
          <t xml:space="preserve">
RSMeans item 2629231001</t>
        </r>
      </text>
    </comment>
    <comment ref="AP72" authorId="0" shapeId="0">
      <text>
        <r>
          <rPr>
            <b/>
            <sz val="9"/>
            <color indexed="81"/>
            <rFont val="Tahoma"/>
            <family val="2"/>
          </rPr>
          <t>Lucas Scheidler:</t>
        </r>
        <r>
          <rPr>
            <sz val="9"/>
            <color indexed="81"/>
            <rFont val="Tahoma"/>
            <family val="2"/>
          </rPr>
          <t xml:space="preserve">
National Average - 1 electrician</t>
        </r>
      </text>
    </comment>
    <comment ref="AP77" authorId="0" shapeId="0">
      <text>
        <r>
          <rPr>
            <b/>
            <sz val="9"/>
            <color indexed="81"/>
            <rFont val="Tahoma"/>
            <family val="2"/>
          </rPr>
          <t>Lucas Scheidler:</t>
        </r>
        <r>
          <rPr>
            <sz val="9"/>
            <color indexed="81"/>
            <rFont val="Tahoma"/>
            <family val="2"/>
          </rPr>
          <t xml:space="preserve">
National Average crew R-3</t>
        </r>
      </text>
    </comment>
    <comment ref="K83" authorId="0" shapeId="0">
      <text>
        <r>
          <rPr>
            <b/>
            <sz val="9"/>
            <color indexed="81"/>
            <rFont val="Tahoma"/>
            <family val="2"/>
          </rPr>
          <t>Lucas Scheidler:</t>
        </r>
        <r>
          <rPr>
            <sz val="9"/>
            <color indexed="81"/>
            <rFont val="Tahoma"/>
            <family val="2"/>
          </rPr>
          <t xml:space="preserve">
RSMeans average</t>
        </r>
      </text>
    </comment>
    <comment ref="M83" authorId="0" shapeId="0">
      <text>
        <r>
          <rPr>
            <b/>
            <sz val="9"/>
            <color indexed="81"/>
            <rFont val="Tahoma"/>
            <family val="2"/>
          </rPr>
          <t>Lucas Scheidler:</t>
        </r>
        <r>
          <rPr>
            <sz val="9"/>
            <color indexed="81"/>
            <rFont val="Tahoma"/>
            <family val="2"/>
          </rPr>
          <t xml:space="preserve">
workpapers refer to DEER 2011, which refers to Means and gives the same values at left</t>
        </r>
      </text>
    </comment>
    <comment ref="U83" authorId="0" shapeId="0">
      <text>
        <r>
          <rPr>
            <b/>
            <sz val="9"/>
            <color indexed="81"/>
            <rFont val="Tahoma"/>
            <family val="2"/>
          </rPr>
          <t>Lucas Scheidler:</t>
        </r>
        <r>
          <rPr>
            <sz val="9"/>
            <color indexed="81"/>
            <rFont val="Tahoma"/>
            <family val="2"/>
          </rPr>
          <t xml:space="preserve">
RSMeans item 2629231001</t>
        </r>
      </text>
    </comment>
    <comment ref="AP83" authorId="0" shapeId="0">
      <text>
        <r>
          <rPr>
            <b/>
            <sz val="9"/>
            <color indexed="81"/>
            <rFont val="Tahoma"/>
            <family val="2"/>
          </rPr>
          <t>Lucas Scheidler:</t>
        </r>
        <r>
          <rPr>
            <sz val="9"/>
            <color indexed="81"/>
            <rFont val="Tahoma"/>
            <family val="2"/>
          </rPr>
          <t xml:space="preserve">
National Average - 1 electrician</t>
        </r>
      </text>
    </comment>
    <comment ref="E93" authorId="0" shapeId="0">
      <text>
        <r>
          <rPr>
            <b/>
            <sz val="9"/>
            <color indexed="81"/>
            <rFont val="Tahoma"/>
            <family val="2"/>
          </rPr>
          <t>Lucas Scheidler:</t>
        </r>
        <r>
          <rPr>
            <sz val="9"/>
            <color indexed="81"/>
            <rFont val="Tahoma"/>
            <family val="2"/>
          </rPr>
          <t xml:space="preserve">
Based on 5 ton unit</t>
        </r>
      </text>
    </comment>
    <comment ref="I93" authorId="0" shapeId="0">
      <text>
        <r>
          <rPr>
            <b/>
            <sz val="9"/>
            <color indexed="81"/>
            <rFont val="Tahoma"/>
            <family val="2"/>
          </rPr>
          <t>Lucas Scheidler:</t>
        </r>
        <r>
          <rPr>
            <sz val="9"/>
            <color indexed="81"/>
            <rFont val="Tahoma"/>
            <family val="2"/>
          </rPr>
          <t xml:space="preserve">
disposal - based on a 5 ton unit</t>
        </r>
      </text>
    </comment>
    <comment ref="J93" authorId="0" shapeId="0">
      <text>
        <r>
          <rPr>
            <b/>
            <sz val="9"/>
            <color indexed="81"/>
            <rFont val="Tahoma"/>
            <family val="2"/>
          </rPr>
          <t>Lucas Scheidler:</t>
        </r>
        <r>
          <rPr>
            <sz val="9"/>
            <color indexed="81"/>
            <rFont val="Tahoma"/>
            <family val="2"/>
          </rPr>
          <t xml:space="preserve">
Crane rental  - based on 5 ton unit</t>
        </r>
      </text>
    </comment>
    <comment ref="K93" authorId="0" shapeId="0">
      <text>
        <r>
          <rPr>
            <b/>
            <sz val="9"/>
            <color indexed="81"/>
            <rFont val="Tahoma"/>
            <family val="2"/>
          </rPr>
          <t>Lucas Scheidler:</t>
        </r>
        <r>
          <rPr>
            <sz val="9"/>
            <color indexed="81"/>
            <rFont val="Tahoma"/>
            <family val="2"/>
          </rPr>
          <t xml:space="preserve">
artificial bids average</t>
        </r>
      </text>
    </comment>
    <comment ref="O93" authorId="0" shapeId="0">
      <text>
        <r>
          <rPr>
            <b/>
            <sz val="9"/>
            <color indexed="81"/>
            <rFont val="Tahoma"/>
            <family val="2"/>
          </rPr>
          <t>Lucas Scheidler:</t>
        </r>
        <r>
          <rPr>
            <sz val="9"/>
            <color indexed="81"/>
            <rFont val="Tahoma"/>
            <family val="2"/>
          </rPr>
          <t xml:space="preserve">
based on a 5 ton unit</t>
        </r>
      </text>
    </comment>
    <comment ref="U93"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G94" authorId="0" shapeId="0">
      <text>
        <r>
          <rPr>
            <b/>
            <sz val="9"/>
            <color indexed="81"/>
            <rFont val="Tahoma"/>
            <family val="2"/>
          </rPr>
          <t>Lucas Scheidler:</t>
        </r>
        <r>
          <rPr>
            <sz val="9"/>
            <color indexed="81"/>
            <rFont val="Tahoma"/>
            <family val="2"/>
          </rPr>
          <t xml:space="preserve">
There was no artificial bids for small package units so the labor rate for large packaged DX is used.</t>
        </r>
      </text>
    </comment>
    <comment ref="U94"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I95" authorId="0" shapeId="0">
      <text>
        <r>
          <rPr>
            <b/>
            <sz val="9"/>
            <color indexed="81"/>
            <rFont val="Tahoma"/>
            <family val="2"/>
          </rPr>
          <t>Lucas Scheidler:</t>
        </r>
        <r>
          <rPr>
            <sz val="9"/>
            <color indexed="81"/>
            <rFont val="Tahoma"/>
            <family val="2"/>
          </rPr>
          <t xml:space="preserve">
No artificial bids to draw miscellaneous costs from for small packaged units. Given the similarity in miscellaneous costs per ton for 20 to 70 ton units, the average miscellaneous costs per ton from the large package units was used here.
</t>
        </r>
      </text>
    </comment>
    <comment ref="U95"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96"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97"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98" authorId="0" shape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t>
        </r>
      </text>
    </comment>
    <comment ref="AP98" authorId="0" shapeId="0">
      <text>
        <r>
          <rPr>
            <b/>
            <sz val="9"/>
            <color indexed="81"/>
            <rFont val="Tahoma"/>
            <family val="2"/>
          </rPr>
          <t>Lucas Scheidler:</t>
        </r>
        <r>
          <rPr>
            <sz val="9"/>
            <color indexed="81"/>
            <rFont val="Tahoma"/>
            <family val="2"/>
          </rPr>
          <t xml:space="preserve">
National Average - crew Q-5
</t>
        </r>
      </text>
    </comment>
    <comment ref="E106" authorId="0" shapeId="0">
      <text>
        <r>
          <rPr>
            <b/>
            <sz val="9"/>
            <color indexed="81"/>
            <rFont val="Tahoma"/>
            <family val="2"/>
          </rPr>
          <t>Lucas Scheidler:</t>
        </r>
        <r>
          <rPr>
            <sz val="9"/>
            <color indexed="81"/>
            <rFont val="Tahoma"/>
            <family val="2"/>
          </rPr>
          <t xml:space="preserve">
Based on 40 ton unit</t>
        </r>
      </text>
    </comment>
    <comment ref="I106" authorId="0" shapeId="0">
      <text>
        <r>
          <rPr>
            <b/>
            <sz val="9"/>
            <color indexed="81"/>
            <rFont val="Tahoma"/>
            <family val="2"/>
          </rPr>
          <t>Lucas Scheidler:</t>
        </r>
        <r>
          <rPr>
            <sz val="9"/>
            <color indexed="81"/>
            <rFont val="Tahoma"/>
            <family val="2"/>
          </rPr>
          <t xml:space="preserve">
disposal - based on a 40 
ton unit</t>
        </r>
      </text>
    </comment>
    <comment ref="J106" authorId="0" shapeId="0">
      <text>
        <r>
          <rPr>
            <b/>
            <sz val="9"/>
            <color indexed="81"/>
            <rFont val="Tahoma"/>
            <family val="2"/>
          </rPr>
          <t>Lucas Scheidler:</t>
        </r>
        <r>
          <rPr>
            <sz val="9"/>
            <color indexed="81"/>
            <rFont val="Tahoma"/>
            <family val="2"/>
          </rPr>
          <t xml:space="preserve">
Crane rental  - based on 5 ton unit</t>
        </r>
      </text>
    </comment>
    <comment ref="K106" authorId="0" shapeId="0">
      <text>
        <r>
          <rPr>
            <b/>
            <sz val="9"/>
            <color indexed="81"/>
            <rFont val="Tahoma"/>
            <family val="2"/>
          </rPr>
          <t>Lucas Scheidler:</t>
        </r>
        <r>
          <rPr>
            <sz val="9"/>
            <color indexed="81"/>
            <rFont val="Tahoma"/>
            <family val="2"/>
          </rPr>
          <t xml:space="preserve">
Average artificial bids</t>
        </r>
      </text>
    </comment>
    <comment ref="O106" authorId="0" shapeId="0">
      <text>
        <r>
          <rPr>
            <b/>
            <sz val="9"/>
            <color indexed="81"/>
            <rFont val="Tahoma"/>
            <family val="2"/>
          </rPr>
          <t>Lucas Scheidler:</t>
        </r>
        <r>
          <rPr>
            <sz val="9"/>
            <color indexed="81"/>
            <rFont val="Tahoma"/>
            <family val="2"/>
          </rPr>
          <t xml:space="preserve">
average hours/ton for 7.5 to 15 ton unit</t>
        </r>
      </text>
    </comment>
    <comment ref="W106" authorId="0" shapeId="0">
      <text>
        <r>
          <rPr>
            <b/>
            <sz val="9"/>
            <color indexed="81"/>
            <rFont val="Tahoma"/>
            <family val="2"/>
          </rPr>
          <t>Lucas Scheidler:</t>
        </r>
        <r>
          <rPr>
            <sz val="9"/>
            <color indexed="81"/>
            <rFont val="Tahoma"/>
            <family val="2"/>
          </rPr>
          <t xml:space="preserve">
Weighted average of all laborers. Does not include markup</t>
        </r>
      </text>
    </comment>
    <comment ref="X106" authorId="0" shapeId="0">
      <text>
        <r>
          <rPr>
            <b/>
            <sz val="9"/>
            <color indexed="81"/>
            <rFont val="Tahoma"/>
            <family val="2"/>
          </rPr>
          <t>Lucas Scheidler:</t>
        </r>
        <r>
          <rPr>
            <sz val="9"/>
            <color indexed="81"/>
            <rFont val="Tahoma"/>
            <family val="2"/>
          </rPr>
          <t xml:space="preserve">
Does not include markup</t>
        </r>
      </text>
    </comment>
    <comment ref="Y106" authorId="0" shape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106" authorId="0" shapeId="0">
      <text>
        <r>
          <rPr>
            <b/>
            <sz val="9"/>
            <color indexed="81"/>
            <rFont val="Tahoma"/>
            <family val="2"/>
          </rPr>
          <t>Lucas Scheidler:</t>
        </r>
        <r>
          <rPr>
            <sz val="9"/>
            <color indexed="81"/>
            <rFont val="Tahoma"/>
            <family val="2"/>
          </rPr>
          <t xml:space="preserve">
EMCOR - Crane - Does not include markup</t>
        </r>
      </text>
    </comment>
    <comment ref="AA10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6" authorId="0" shapeId="0">
      <text>
        <r>
          <rPr>
            <b/>
            <sz val="9"/>
            <color indexed="81"/>
            <rFont val="Tahoma"/>
            <family val="2"/>
          </rPr>
          <t>Lucas Scheidler:</t>
        </r>
        <r>
          <rPr>
            <sz val="9"/>
            <color indexed="81"/>
            <rFont val="Tahoma"/>
            <family val="2"/>
          </rPr>
          <t xml:space="preserve">
Weighted average of all laborers. Does not include markup</t>
        </r>
      </text>
    </comment>
    <comment ref="AD106" authorId="0" shapeId="0">
      <text>
        <r>
          <rPr>
            <b/>
            <sz val="9"/>
            <color indexed="81"/>
            <rFont val="Tahoma"/>
            <family val="2"/>
          </rPr>
          <t>Lucas Scheidler:</t>
        </r>
        <r>
          <rPr>
            <sz val="9"/>
            <color indexed="81"/>
            <rFont val="Tahoma"/>
            <family val="2"/>
          </rPr>
          <t xml:space="preserve">
Does not include markup</t>
        </r>
      </text>
    </comment>
    <comment ref="AE106" authorId="0" shapeId="0">
      <text>
        <r>
          <rPr>
            <b/>
            <sz val="9"/>
            <color indexed="81"/>
            <rFont val="Tahoma"/>
            <family val="2"/>
          </rPr>
          <t>Lucas Scheidler:</t>
        </r>
        <r>
          <rPr>
            <sz val="9"/>
            <color indexed="81"/>
            <rFont val="Tahoma"/>
            <family val="2"/>
          </rPr>
          <t xml:space="preserve">
EMCOR - small tools / etc- Does not include markup or tax</t>
        </r>
      </text>
    </comment>
    <comment ref="AF106" authorId="0" shapeId="0">
      <text>
        <r>
          <rPr>
            <b/>
            <sz val="9"/>
            <color indexed="81"/>
            <rFont val="Tahoma"/>
            <family val="2"/>
          </rPr>
          <t>Lucas Scheidler:</t>
        </r>
        <r>
          <rPr>
            <sz val="9"/>
            <color indexed="81"/>
            <rFont val="Tahoma"/>
            <family val="2"/>
          </rPr>
          <t xml:space="preserve">
EMCOR - Rigging/crane,  - Does not include markup</t>
        </r>
      </text>
    </comment>
    <comment ref="AG106"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O107" authorId="0" shapeId="0">
      <text>
        <r>
          <rPr>
            <b/>
            <sz val="9"/>
            <color indexed="81"/>
            <rFont val="Tahoma"/>
            <family val="2"/>
          </rPr>
          <t>Lucas Scheidler:</t>
        </r>
        <r>
          <rPr>
            <sz val="9"/>
            <color indexed="81"/>
            <rFont val="Tahoma"/>
            <family val="2"/>
          </rPr>
          <t xml:space="preserve">
average hours/ton for 20 to 100 ton unit</t>
        </r>
      </text>
    </comment>
    <comment ref="W107" authorId="0" shapeId="0">
      <text>
        <r>
          <rPr>
            <b/>
            <sz val="9"/>
            <color indexed="81"/>
            <rFont val="Tahoma"/>
            <family val="2"/>
          </rPr>
          <t>Lucas Scheidler:</t>
        </r>
        <r>
          <rPr>
            <sz val="9"/>
            <color indexed="81"/>
            <rFont val="Tahoma"/>
            <family val="2"/>
          </rPr>
          <t xml:space="preserve">
Weighted average of all laborers. Does not include markup</t>
        </r>
      </text>
    </comment>
    <comment ref="X107" authorId="0" shapeId="0">
      <text>
        <r>
          <rPr>
            <b/>
            <sz val="9"/>
            <color indexed="81"/>
            <rFont val="Tahoma"/>
            <family val="2"/>
          </rPr>
          <t>Lucas Scheidler:</t>
        </r>
        <r>
          <rPr>
            <sz val="9"/>
            <color indexed="81"/>
            <rFont val="Tahoma"/>
            <family val="2"/>
          </rPr>
          <t xml:space="preserve">
Does not include markup</t>
        </r>
      </text>
    </comment>
    <comment ref="Y107" authorId="0" shape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107" authorId="0" shapeId="0">
      <text>
        <r>
          <rPr>
            <b/>
            <sz val="9"/>
            <color indexed="81"/>
            <rFont val="Tahoma"/>
            <family val="2"/>
          </rPr>
          <t>Lucas Scheidler:</t>
        </r>
        <r>
          <rPr>
            <sz val="9"/>
            <color indexed="81"/>
            <rFont val="Tahoma"/>
            <family val="2"/>
          </rPr>
          <t xml:space="preserve">
EMCOR - Crane - Does not include markup</t>
        </r>
      </text>
    </comment>
    <comment ref="AA10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7" authorId="0" shapeId="0">
      <text>
        <r>
          <rPr>
            <b/>
            <sz val="9"/>
            <color indexed="81"/>
            <rFont val="Tahoma"/>
            <family val="2"/>
          </rPr>
          <t>Lucas Scheidler:</t>
        </r>
        <r>
          <rPr>
            <sz val="9"/>
            <color indexed="81"/>
            <rFont val="Tahoma"/>
            <family val="2"/>
          </rPr>
          <t xml:space="preserve">
Weighted average of all laborers. Does not include markup</t>
        </r>
      </text>
    </comment>
    <comment ref="AD107" authorId="0" shapeId="0">
      <text>
        <r>
          <rPr>
            <b/>
            <sz val="9"/>
            <color indexed="81"/>
            <rFont val="Tahoma"/>
            <family val="2"/>
          </rPr>
          <t>Lucas Scheidler:</t>
        </r>
        <r>
          <rPr>
            <sz val="9"/>
            <color indexed="81"/>
            <rFont val="Tahoma"/>
            <family val="2"/>
          </rPr>
          <t xml:space="preserve">
Does not include markup</t>
        </r>
      </text>
    </comment>
    <comment ref="AE107" authorId="0" shapeId="0">
      <text>
        <r>
          <rPr>
            <b/>
            <sz val="9"/>
            <color indexed="81"/>
            <rFont val="Tahoma"/>
            <family val="2"/>
          </rPr>
          <t>Lucas Scheidler:</t>
        </r>
        <r>
          <rPr>
            <sz val="9"/>
            <color indexed="81"/>
            <rFont val="Tahoma"/>
            <family val="2"/>
          </rPr>
          <t xml:space="preserve">
EMCOR - small tools / etc- Does not include markup or tax</t>
        </r>
      </text>
    </comment>
    <comment ref="AF107" authorId="0" shapeId="0">
      <text>
        <r>
          <rPr>
            <b/>
            <sz val="9"/>
            <color indexed="81"/>
            <rFont val="Tahoma"/>
            <family val="2"/>
          </rPr>
          <t>Lucas Scheidler:</t>
        </r>
        <r>
          <rPr>
            <sz val="9"/>
            <color indexed="81"/>
            <rFont val="Tahoma"/>
            <family val="2"/>
          </rPr>
          <t xml:space="preserve">
EMCOR - Rigging/crane,  - Does not include markup</t>
        </r>
      </text>
    </comment>
    <comment ref="AG107"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I108" authorId="0" shapeId="0">
      <text>
        <r>
          <rPr>
            <b/>
            <sz val="9"/>
            <color indexed="81"/>
            <rFont val="Tahoma"/>
            <family val="2"/>
          </rPr>
          <t>Lucas Scheidler:</t>
        </r>
        <r>
          <rPr>
            <sz val="9"/>
            <color indexed="81"/>
            <rFont val="Tahoma"/>
            <family val="2"/>
          </rPr>
          <t xml:space="preserve">
average miscellaneous costs per ton for 20 to 70 ton units
</t>
        </r>
      </text>
    </comment>
    <comment ref="R108" authorId="0" shapeId="0">
      <text>
        <r>
          <rPr>
            <b/>
            <sz val="9"/>
            <color indexed="81"/>
            <rFont val="Tahoma"/>
            <family val="2"/>
          </rPr>
          <t>Lucas Scheidler:</t>
        </r>
        <r>
          <rPr>
            <sz val="9"/>
            <color indexed="81"/>
            <rFont val="Tahoma"/>
            <family val="2"/>
          </rPr>
          <t xml:space="preserve">
Based on 20 ton unit</t>
        </r>
      </text>
    </comment>
    <comment ref="W108" authorId="0" shapeId="0">
      <text>
        <r>
          <rPr>
            <b/>
            <sz val="9"/>
            <color indexed="81"/>
            <rFont val="Tahoma"/>
            <family val="2"/>
          </rPr>
          <t>Lucas Scheidler:</t>
        </r>
        <r>
          <rPr>
            <sz val="9"/>
            <color indexed="81"/>
            <rFont val="Tahoma"/>
            <family val="2"/>
          </rPr>
          <t xml:space="preserve">
Weighted average of all laborers. Does not include markup</t>
        </r>
      </text>
    </comment>
    <comment ref="X108" authorId="0" shapeId="0">
      <text>
        <r>
          <rPr>
            <b/>
            <sz val="9"/>
            <color indexed="81"/>
            <rFont val="Tahoma"/>
            <family val="2"/>
          </rPr>
          <t>Lucas Scheidler:</t>
        </r>
        <r>
          <rPr>
            <sz val="9"/>
            <color indexed="81"/>
            <rFont val="Tahoma"/>
            <family val="2"/>
          </rPr>
          <t xml:space="preserve">
Does not include markup</t>
        </r>
      </text>
    </comment>
    <comment ref="Y108" authorId="0" shapeId="0">
      <text>
        <r>
          <rPr>
            <b/>
            <sz val="9"/>
            <color indexed="81"/>
            <rFont val="Tahoma"/>
            <family val="2"/>
          </rPr>
          <t>Lucas Scheidler:</t>
        </r>
        <r>
          <rPr>
            <sz val="9"/>
            <color indexed="81"/>
            <rFont val="Tahoma"/>
            <family val="2"/>
          </rPr>
          <t xml:space="preserve">
EMCOR -misc electrical and plumbing, curb/adaptor - Does not include markup or tax</t>
        </r>
      </text>
    </comment>
    <comment ref="Z108" authorId="0" shapeId="0">
      <text>
        <r>
          <rPr>
            <b/>
            <sz val="9"/>
            <color indexed="81"/>
            <rFont val="Tahoma"/>
            <family val="2"/>
          </rPr>
          <t>Lucas Scheidler:</t>
        </r>
        <r>
          <rPr>
            <sz val="9"/>
            <color indexed="81"/>
            <rFont val="Tahoma"/>
            <family val="2"/>
          </rPr>
          <t xml:space="preserve">
EMCOR - Crane - Does not include markup</t>
        </r>
      </text>
    </comment>
    <comment ref="AA10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8" authorId="0" shapeId="0">
      <text>
        <r>
          <rPr>
            <b/>
            <sz val="9"/>
            <color indexed="81"/>
            <rFont val="Tahoma"/>
            <family val="2"/>
          </rPr>
          <t>Lucas Scheidler:</t>
        </r>
        <r>
          <rPr>
            <sz val="9"/>
            <color indexed="81"/>
            <rFont val="Tahoma"/>
            <family val="2"/>
          </rPr>
          <t xml:space="preserve">
Weighted average of all laborers. Does not include markup</t>
        </r>
      </text>
    </comment>
    <comment ref="AD108" authorId="0" shapeId="0">
      <text>
        <r>
          <rPr>
            <b/>
            <sz val="9"/>
            <color indexed="81"/>
            <rFont val="Tahoma"/>
            <family val="2"/>
          </rPr>
          <t>Lucas Scheidler:</t>
        </r>
        <r>
          <rPr>
            <sz val="9"/>
            <color indexed="81"/>
            <rFont val="Tahoma"/>
            <family val="2"/>
          </rPr>
          <t xml:space="preserve">
Does not include markup</t>
        </r>
      </text>
    </comment>
    <comment ref="AE108" authorId="0" shapeId="0">
      <text>
        <r>
          <rPr>
            <b/>
            <sz val="9"/>
            <color indexed="81"/>
            <rFont val="Tahoma"/>
            <family val="2"/>
          </rPr>
          <t>Lucas Scheidler:</t>
        </r>
        <r>
          <rPr>
            <sz val="9"/>
            <color indexed="81"/>
            <rFont val="Tahoma"/>
            <family val="2"/>
          </rPr>
          <t xml:space="preserve">
EMCOR - small tools / etc, curb/adapter- Does not include markup or tax</t>
        </r>
      </text>
    </comment>
    <comment ref="AF108" authorId="0" shapeId="0">
      <text>
        <r>
          <rPr>
            <b/>
            <sz val="9"/>
            <color indexed="81"/>
            <rFont val="Tahoma"/>
            <family val="2"/>
          </rPr>
          <t>Lucas Scheidler:</t>
        </r>
        <r>
          <rPr>
            <sz val="9"/>
            <color indexed="81"/>
            <rFont val="Tahoma"/>
            <family val="2"/>
          </rPr>
          <t xml:space="preserve">
EMCOR - Rigging/crane,  - Does not include markup</t>
        </r>
      </text>
    </comment>
    <comment ref="AG108"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R109" authorId="0" shapeId="0">
      <text>
        <r>
          <rPr>
            <b/>
            <sz val="9"/>
            <color indexed="81"/>
            <rFont val="Tahoma"/>
            <family val="2"/>
          </rPr>
          <t>Lucas Scheidler:</t>
        </r>
        <r>
          <rPr>
            <sz val="9"/>
            <color indexed="81"/>
            <rFont val="Tahoma"/>
            <family val="2"/>
          </rPr>
          <t xml:space="preserve">
Based on 20 ton unit</t>
        </r>
      </text>
    </comment>
    <comment ref="W109" authorId="0" shapeId="0">
      <text>
        <r>
          <rPr>
            <b/>
            <sz val="9"/>
            <color indexed="81"/>
            <rFont val="Tahoma"/>
            <family val="2"/>
          </rPr>
          <t>Lucas Scheidler:</t>
        </r>
        <r>
          <rPr>
            <sz val="9"/>
            <color indexed="81"/>
            <rFont val="Tahoma"/>
            <family val="2"/>
          </rPr>
          <t xml:space="preserve">
Weighted average of all laborers. Does not include markup</t>
        </r>
      </text>
    </comment>
    <comment ref="X109" authorId="0" shapeId="0">
      <text>
        <r>
          <rPr>
            <b/>
            <sz val="9"/>
            <color indexed="81"/>
            <rFont val="Tahoma"/>
            <family val="2"/>
          </rPr>
          <t>Lucas Scheidler:</t>
        </r>
        <r>
          <rPr>
            <sz val="9"/>
            <color indexed="81"/>
            <rFont val="Tahoma"/>
            <family val="2"/>
          </rPr>
          <t xml:space="preserve">
Does not include markup</t>
        </r>
      </text>
    </comment>
    <comment ref="Y109" authorId="0" shapeId="0">
      <text>
        <r>
          <rPr>
            <b/>
            <sz val="9"/>
            <color indexed="81"/>
            <rFont val="Tahoma"/>
            <family val="2"/>
          </rPr>
          <t>Lucas Scheidler:</t>
        </r>
        <r>
          <rPr>
            <sz val="9"/>
            <color indexed="81"/>
            <rFont val="Tahoma"/>
            <family val="2"/>
          </rPr>
          <t xml:space="preserve">
EMCOR -misc electrical and plumbing, curb/adaptor - Does not include markup or tax</t>
        </r>
      </text>
    </comment>
    <comment ref="Z109" authorId="0" shapeId="0">
      <text>
        <r>
          <rPr>
            <b/>
            <sz val="9"/>
            <color indexed="81"/>
            <rFont val="Tahoma"/>
            <family val="2"/>
          </rPr>
          <t>Lucas Scheidler:</t>
        </r>
        <r>
          <rPr>
            <sz val="9"/>
            <color indexed="81"/>
            <rFont val="Tahoma"/>
            <family val="2"/>
          </rPr>
          <t xml:space="preserve">
EMCOR - Crane - Does not include markup</t>
        </r>
      </text>
    </comment>
    <comment ref="AA10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9" authorId="0" shapeId="0">
      <text>
        <r>
          <rPr>
            <b/>
            <sz val="9"/>
            <color indexed="81"/>
            <rFont val="Tahoma"/>
            <family val="2"/>
          </rPr>
          <t>Lucas Scheidler:</t>
        </r>
        <r>
          <rPr>
            <sz val="9"/>
            <color indexed="81"/>
            <rFont val="Tahoma"/>
            <family val="2"/>
          </rPr>
          <t xml:space="preserve">
Weighted average of all laborers. Does not include markup</t>
        </r>
      </text>
    </comment>
    <comment ref="AD109" authorId="0" shapeId="0">
      <text>
        <r>
          <rPr>
            <b/>
            <sz val="9"/>
            <color indexed="81"/>
            <rFont val="Tahoma"/>
            <family val="2"/>
          </rPr>
          <t>Lucas Scheidler:</t>
        </r>
        <r>
          <rPr>
            <sz val="9"/>
            <color indexed="81"/>
            <rFont val="Tahoma"/>
            <family val="2"/>
          </rPr>
          <t xml:space="preserve">
Does not include markup</t>
        </r>
      </text>
    </comment>
    <comment ref="AE109" authorId="0" shapeId="0">
      <text>
        <r>
          <rPr>
            <b/>
            <sz val="9"/>
            <color indexed="81"/>
            <rFont val="Tahoma"/>
            <family val="2"/>
          </rPr>
          <t>Lucas Scheidler:</t>
        </r>
        <r>
          <rPr>
            <sz val="9"/>
            <color indexed="81"/>
            <rFont val="Tahoma"/>
            <family val="2"/>
          </rPr>
          <t xml:space="preserve">
EMCOR - small tools / etc, curb/adapter- Does not include markup or tax</t>
        </r>
      </text>
    </comment>
    <comment ref="AF109" authorId="0" shapeId="0">
      <text>
        <r>
          <rPr>
            <b/>
            <sz val="9"/>
            <color indexed="81"/>
            <rFont val="Tahoma"/>
            <family val="2"/>
          </rPr>
          <t>Lucas Scheidler:</t>
        </r>
        <r>
          <rPr>
            <sz val="9"/>
            <color indexed="81"/>
            <rFont val="Tahoma"/>
            <family val="2"/>
          </rPr>
          <t xml:space="preserve">
EMCOR - Rigging/crane,  - Does not include markup</t>
        </r>
      </text>
    </comment>
    <comment ref="AG109"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R110" authorId="0" shapeId="0">
      <text>
        <r>
          <rPr>
            <b/>
            <sz val="9"/>
            <color indexed="81"/>
            <rFont val="Tahoma"/>
            <family val="2"/>
          </rPr>
          <t>Lucas Scheidler:</t>
        </r>
        <r>
          <rPr>
            <sz val="9"/>
            <color indexed="81"/>
            <rFont val="Tahoma"/>
            <family val="2"/>
          </rPr>
          <t xml:space="preserve">
Based on 70 ton unit</t>
        </r>
      </text>
    </comment>
    <comment ref="U110"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U111"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40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112"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113"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114"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40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115" authorId="0" shape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t>
        </r>
      </text>
    </comment>
    <comment ref="AP115" authorId="0" shapeId="0">
      <text>
        <r>
          <rPr>
            <b/>
            <sz val="9"/>
            <color indexed="81"/>
            <rFont val="Tahoma"/>
            <family val="2"/>
          </rPr>
          <t>Lucas Scheidler:</t>
        </r>
        <r>
          <rPr>
            <sz val="9"/>
            <color indexed="81"/>
            <rFont val="Tahoma"/>
            <family val="2"/>
          </rPr>
          <t xml:space="preserve">
National Average - crew Q-5
</t>
        </r>
      </text>
    </comment>
    <comment ref="AP118" authorId="0" shapeId="0">
      <text>
        <r>
          <rPr>
            <b/>
            <sz val="9"/>
            <color indexed="81"/>
            <rFont val="Tahoma"/>
            <family val="2"/>
          </rPr>
          <t>Lucas Scheidler:</t>
        </r>
        <r>
          <rPr>
            <sz val="9"/>
            <color indexed="81"/>
            <rFont val="Tahoma"/>
            <family val="2"/>
          </rPr>
          <t xml:space="preserve">
National Average - crew Q-6
</t>
        </r>
      </text>
    </comment>
    <comment ref="K127" authorId="0" shapeId="0">
      <text>
        <r>
          <rPr>
            <b/>
            <sz val="9"/>
            <color indexed="81"/>
            <rFont val="Tahoma"/>
            <family val="2"/>
          </rPr>
          <t>Lucas Scheidler:</t>
        </r>
        <r>
          <rPr>
            <sz val="9"/>
            <color indexed="81"/>
            <rFont val="Tahoma"/>
            <family val="2"/>
          </rPr>
          <t xml:space="preserve">
average artificial bids</t>
        </r>
      </text>
    </comment>
    <comment ref="O127" authorId="0" shapeId="0">
      <text>
        <r>
          <rPr>
            <b/>
            <sz val="9"/>
            <color indexed="81"/>
            <rFont val="Tahoma"/>
            <family val="2"/>
          </rPr>
          <t>Lucas Scheidler:</t>
        </r>
        <r>
          <rPr>
            <sz val="9"/>
            <color indexed="81"/>
            <rFont val="Tahoma"/>
            <family val="2"/>
          </rPr>
          <t xml:space="preserve">
Average hours/ton for 130 to 320 ton screw</t>
        </r>
      </text>
    </comment>
    <comment ref="W127" authorId="0" shapeId="0">
      <text>
        <r>
          <rPr>
            <b/>
            <sz val="9"/>
            <color indexed="81"/>
            <rFont val="Tahoma"/>
            <family val="2"/>
          </rPr>
          <t>Lucas Scheidler:</t>
        </r>
        <r>
          <rPr>
            <sz val="9"/>
            <color indexed="81"/>
            <rFont val="Tahoma"/>
            <family val="2"/>
          </rPr>
          <t xml:space="preserve">
Weighted average of all laborers. Does not include markup</t>
        </r>
      </text>
    </comment>
    <comment ref="X127" authorId="0" shapeId="0">
      <text>
        <r>
          <rPr>
            <b/>
            <sz val="9"/>
            <color indexed="81"/>
            <rFont val="Tahoma"/>
            <family val="2"/>
          </rPr>
          <t>Lucas Scheidler:</t>
        </r>
        <r>
          <rPr>
            <sz val="9"/>
            <color indexed="81"/>
            <rFont val="Tahoma"/>
            <family val="2"/>
          </rPr>
          <t xml:space="preserve">
Does not include markup</t>
        </r>
      </text>
    </comment>
    <comment ref="Y127"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27" authorId="0" shapeId="0">
      <text>
        <r>
          <rPr>
            <b/>
            <sz val="9"/>
            <color indexed="81"/>
            <rFont val="Tahoma"/>
            <family val="2"/>
          </rPr>
          <t>Lucas Scheidler:</t>
        </r>
        <r>
          <rPr>
            <sz val="9"/>
            <color indexed="81"/>
            <rFont val="Tahoma"/>
            <family val="2"/>
          </rPr>
          <t xml:space="preserve">
EMCOR - Crane rental - Does not include markup</t>
        </r>
      </text>
    </comment>
    <comment ref="AA12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27" authorId="0" shapeId="0">
      <text>
        <r>
          <rPr>
            <b/>
            <sz val="9"/>
            <color indexed="81"/>
            <rFont val="Tahoma"/>
            <family val="2"/>
          </rPr>
          <t>Lucas Scheidler:</t>
        </r>
        <r>
          <rPr>
            <sz val="9"/>
            <color indexed="81"/>
            <rFont val="Tahoma"/>
            <family val="2"/>
          </rPr>
          <t xml:space="preserve">
Weighted average of all laborers. Does not include markup</t>
        </r>
      </text>
    </comment>
    <comment ref="AD127" authorId="0" shapeId="0">
      <text>
        <r>
          <rPr>
            <b/>
            <sz val="9"/>
            <color indexed="81"/>
            <rFont val="Tahoma"/>
            <family val="2"/>
          </rPr>
          <t>Lucas Scheidler:</t>
        </r>
        <r>
          <rPr>
            <sz val="9"/>
            <color indexed="81"/>
            <rFont val="Tahoma"/>
            <family val="2"/>
          </rPr>
          <t xml:space="preserve">
Does not include markup</t>
        </r>
      </text>
    </comment>
    <comment ref="AE127"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27" authorId="0" shapeId="0">
      <text>
        <r>
          <rPr>
            <b/>
            <sz val="9"/>
            <color indexed="81"/>
            <rFont val="Tahoma"/>
            <family val="2"/>
          </rPr>
          <t>Lucas Scheidler:</t>
        </r>
        <r>
          <rPr>
            <sz val="9"/>
            <color indexed="81"/>
            <rFont val="Tahoma"/>
            <family val="2"/>
          </rPr>
          <t xml:space="preserve">
EMCOR - Rigging/crane,  - Does not include markup</t>
        </r>
      </text>
    </comment>
    <comment ref="AG127"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O128" authorId="0" shapeId="0">
      <text>
        <r>
          <rPr>
            <b/>
            <sz val="9"/>
            <color indexed="81"/>
            <rFont val="Tahoma"/>
            <family val="2"/>
          </rPr>
          <t>Lucas Scheidler:</t>
        </r>
        <r>
          <rPr>
            <sz val="9"/>
            <color indexed="81"/>
            <rFont val="Tahoma"/>
            <family val="2"/>
          </rPr>
          <t xml:space="preserve">
Average hours/ton for 10 to 50 ton scroll</t>
        </r>
      </text>
    </comment>
    <comment ref="W128" authorId="0" shapeId="0">
      <text>
        <r>
          <rPr>
            <b/>
            <sz val="9"/>
            <color indexed="81"/>
            <rFont val="Tahoma"/>
            <family val="2"/>
          </rPr>
          <t>Lucas Scheidler:</t>
        </r>
        <r>
          <rPr>
            <sz val="9"/>
            <color indexed="81"/>
            <rFont val="Tahoma"/>
            <family val="2"/>
          </rPr>
          <t xml:space="preserve">
Weighted average of all laborers. Does not include markup</t>
        </r>
      </text>
    </comment>
    <comment ref="X128" authorId="0" shapeId="0">
      <text>
        <r>
          <rPr>
            <b/>
            <sz val="9"/>
            <color indexed="81"/>
            <rFont val="Tahoma"/>
            <family val="2"/>
          </rPr>
          <t>Lucas Scheidler:</t>
        </r>
        <r>
          <rPr>
            <sz val="9"/>
            <color indexed="81"/>
            <rFont val="Tahoma"/>
            <family val="2"/>
          </rPr>
          <t xml:space="preserve">
Does not include markup</t>
        </r>
      </text>
    </comment>
    <comment ref="Y128"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28" authorId="0" shapeId="0">
      <text>
        <r>
          <rPr>
            <b/>
            <sz val="9"/>
            <color indexed="81"/>
            <rFont val="Tahoma"/>
            <family val="2"/>
          </rPr>
          <t>Lucas Scheidler:</t>
        </r>
        <r>
          <rPr>
            <sz val="9"/>
            <color indexed="81"/>
            <rFont val="Tahoma"/>
            <family val="2"/>
          </rPr>
          <t xml:space="preserve">
EMCOR - Crane rental - Does not include markup</t>
        </r>
      </text>
    </comment>
    <comment ref="AA12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28" authorId="0" shapeId="0">
      <text>
        <r>
          <rPr>
            <b/>
            <sz val="9"/>
            <color indexed="81"/>
            <rFont val="Tahoma"/>
            <family val="2"/>
          </rPr>
          <t>Lucas Scheidler:</t>
        </r>
        <r>
          <rPr>
            <sz val="9"/>
            <color indexed="81"/>
            <rFont val="Tahoma"/>
            <family val="2"/>
          </rPr>
          <t xml:space="preserve">
Weighted average of all laborers. Does not include markup</t>
        </r>
      </text>
    </comment>
    <comment ref="AD128" authorId="0" shapeId="0">
      <text>
        <r>
          <rPr>
            <b/>
            <sz val="9"/>
            <color indexed="81"/>
            <rFont val="Tahoma"/>
            <family val="2"/>
          </rPr>
          <t>Lucas Scheidler:</t>
        </r>
        <r>
          <rPr>
            <sz val="9"/>
            <color indexed="81"/>
            <rFont val="Tahoma"/>
            <family val="2"/>
          </rPr>
          <t xml:space="preserve">
Does not include markup</t>
        </r>
      </text>
    </comment>
    <comment ref="AE128"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28" authorId="0" shapeId="0">
      <text>
        <r>
          <rPr>
            <b/>
            <sz val="9"/>
            <color indexed="81"/>
            <rFont val="Tahoma"/>
            <family val="2"/>
          </rPr>
          <t>Lucas Scheidler:</t>
        </r>
        <r>
          <rPr>
            <sz val="9"/>
            <color indexed="81"/>
            <rFont val="Tahoma"/>
            <family val="2"/>
          </rPr>
          <t xml:space="preserve">
EMCOR - Rigging/crane,  - Does not include markup</t>
        </r>
      </text>
    </comment>
    <comment ref="AG128"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W129" authorId="0" shapeId="0">
      <text>
        <r>
          <rPr>
            <b/>
            <sz val="9"/>
            <color indexed="81"/>
            <rFont val="Tahoma"/>
            <family val="2"/>
          </rPr>
          <t>Lucas Scheidler:</t>
        </r>
        <r>
          <rPr>
            <sz val="9"/>
            <color indexed="81"/>
            <rFont val="Tahoma"/>
            <family val="2"/>
          </rPr>
          <t xml:space="preserve">
Weighted average of all laborers. Does not include markup</t>
        </r>
      </text>
    </comment>
    <comment ref="X129" authorId="0" shapeId="0">
      <text>
        <r>
          <rPr>
            <b/>
            <sz val="9"/>
            <color indexed="81"/>
            <rFont val="Tahoma"/>
            <family val="2"/>
          </rPr>
          <t>Lucas Scheidler:</t>
        </r>
        <r>
          <rPr>
            <sz val="9"/>
            <color indexed="81"/>
            <rFont val="Tahoma"/>
            <family val="2"/>
          </rPr>
          <t xml:space="preserve">
Does not include markup</t>
        </r>
      </text>
    </comment>
    <comment ref="Y129"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29" authorId="0" shapeId="0">
      <text>
        <r>
          <rPr>
            <b/>
            <sz val="9"/>
            <color indexed="81"/>
            <rFont val="Tahoma"/>
            <family val="2"/>
          </rPr>
          <t>Lucas Scheidler:</t>
        </r>
        <r>
          <rPr>
            <sz val="9"/>
            <color indexed="81"/>
            <rFont val="Tahoma"/>
            <family val="2"/>
          </rPr>
          <t xml:space="preserve">
EMCOR - Crane rental - Does not include markup</t>
        </r>
      </text>
    </comment>
    <comment ref="AA12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29" authorId="0" shapeId="0">
      <text>
        <r>
          <rPr>
            <b/>
            <sz val="9"/>
            <color indexed="81"/>
            <rFont val="Tahoma"/>
            <family val="2"/>
          </rPr>
          <t>Lucas Scheidler:</t>
        </r>
        <r>
          <rPr>
            <sz val="9"/>
            <color indexed="81"/>
            <rFont val="Tahoma"/>
            <family val="2"/>
          </rPr>
          <t xml:space="preserve">
Weighted average of all laborers. Does not include markup</t>
        </r>
      </text>
    </comment>
    <comment ref="AD129" authorId="0" shapeId="0">
      <text>
        <r>
          <rPr>
            <b/>
            <sz val="9"/>
            <color indexed="81"/>
            <rFont val="Tahoma"/>
            <family val="2"/>
          </rPr>
          <t>Lucas Scheidler:</t>
        </r>
        <r>
          <rPr>
            <sz val="9"/>
            <color indexed="81"/>
            <rFont val="Tahoma"/>
            <family val="2"/>
          </rPr>
          <t xml:space="preserve">
Does not include markup</t>
        </r>
      </text>
    </comment>
    <comment ref="AE129"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29" authorId="0" shapeId="0">
      <text>
        <r>
          <rPr>
            <b/>
            <sz val="9"/>
            <color indexed="81"/>
            <rFont val="Tahoma"/>
            <family val="2"/>
          </rPr>
          <t>Lucas Scheidler:</t>
        </r>
        <r>
          <rPr>
            <sz val="9"/>
            <color indexed="81"/>
            <rFont val="Tahoma"/>
            <family val="2"/>
          </rPr>
          <t xml:space="preserve">
EMCOR - Rigging/crane, - Does not include markup</t>
        </r>
      </text>
    </comment>
    <comment ref="AG129"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W130" authorId="0" shapeId="0">
      <text>
        <r>
          <rPr>
            <b/>
            <sz val="9"/>
            <color indexed="81"/>
            <rFont val="Tahoma"/>
            <family val="2"/>
          </rPr>
          <t>Lucas Scheidler:</t>
        </r>
        <r>
          <rPr>
            <sz val="9"/>
            <color indexed="81"/>
            <rFont val="Tahoma"/>
            <family val="2"/>
          </rPr>
          <t xml:space="preserve">
Weighted average of all laborers. Does not include markup</t>
        </r>
      </text>
    </comment>
    <comment ref="X130" authorId="0" shapeId="0">
      <text>
        <r>
          <rPr>
            <b/>
            <sz val="9"/>
            <color indexed="81"/>
            <rFont val="Tahoma"/>
            <family val="2"/>
          </rPr>
          <t>Lucas Scheidler:</t>
        </r>
        <r>
          <rPr>
            <sz val="9"/>
            <color indexed="81"/>
            <rFont val="Tahoma"/>
            <family val="2"/>
          </rPr>
          <t xml:space="preserve">
Does not include markup</t>
        </r>
      </text>
    </comment>
    <comment ref="Y130"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30" authorId="0" shapeId="0">
      <text>
        <r>
          <rPr>
            <b/>
            <sz val="9"/>
            <color indexed="81"/>
            <rFont val="Tahoma"/>
            <family val="2"/>
          </rPr>
          <t>Lucas Scheidler:</t>
        </r>
        <r>
          <rPr>
            <sz val="9"/>
            <color indexed="81"/>
            <rFont val="Tahoma"/>
            <family val="2"/>
          </rPr>
          <t xml:space="preserve">
EMCOR - Crane rental - Does not include markup</t>
        </r>
      </text>
    </comment>
    <comment ref="AA130"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30" authorId="0" shapeId="0">
      <text>
        <r>
          <rPr>
            <b/>
            <sz val="9"/>
            <color indexed="81"/>
            <rFont val="Tahoma"/>
            <family val="2"/>
          </rPr>
          <t>Lucas Scheidler:</t>
        </r>
        <r>
          <rPr>
            <sz val="9"/>
            <color indexed="81"/>
            <rFont val="Tahoma"/>
            <family val="2"/>
          </rPr>
          <t xml:space="preserve">
Weighted average of all laborers. Does not include markup</t>
        </r>
      </text>
    </comment>
    <comment ref="AD130" authorId="0" shapeId="0">
      <text>
        <r>
          <rPr>
            <b/>
            <sz val="9"/>
            <color indexed="81"/>
            <rFont val="Tahoma"/>
            <family val="2"/>
          </rPr>
          <t>Lucas Scheidler:</t>
        </r>
        <r>
          <rPr>
            <sz val="9"/>
            <color indexed="81"/>
            <rFont val="Tahoma"/>
            <family val="2"/>
          </rPr>
          <t xml:space="preserve">
Does not include markup</t>
        </r>
      </text>
    </comment>
    <comment ref="AE130"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30" authorId="0" shapeId="0">
      <text>
        <r>
          <rPr>
            <b/>
            <sz val="9"/>
            <color indexed="81"/>
            <rFont val="Tahoma"/>
            <family val="2"/>
          </rPr>
          <t>Lucas Scheidler:</t>
        </r>
        <r>
          <rPr>
            <sz val="9"/>
            <color indexed="81"/>
            <rFont val="Tahoma"/>
            <family val="2"/>
          </rPr>
          <t xml:space="preserve">
EMCOR - Rigging/crane,  - Does not include markup</t>
        </r>
      </text>
    </comment>
    <comment ref="AG130"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W131" authorId="0" shapeId="0">
      <text>
        <r>
          <rPr>
            <b/>
            <sz val="9"/>
            <color indexed="81"/>
            <rFont val="Tahoma"/>
            <family val="2"/>
          </rPr>
          <t>Lucas Scheidler:</t>
        </r>
        <r>
          <rPr>
            <sz val="9"/>
            <color indexed="81"/>
            <rFont val="Tahoma"/>
            <family val="2"/>
          </rPr>
          <t xml:space="preserve">
Weighted average of all laborers. Does not include markup</t>
        </r>
      </text>
    </comment>
    <comment ref="X131" authorId="0" shapeId="0">
      <text>
        <r>
          <rPr>
            <b/>
            <sz val="9"/>
            <color indexed="81"/>
            <rFont val="Tahoma"/>
            <family val="2"/>
          </rPr>
          <t>Lucas Scheidler:</t>
        </r>
        <r>
          <rPr>
            <sz val="9"/>
            <color indexed="81"/>
            <rFont val="Tahoma"/>
            <family val="2"/>
          </rPr>
          <t xml:space="preserve">
Does not include markup</t>
        </r>
      </text>
    </comment>
    <comment ref="Y131"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31" authorId="0" shapeId="0">
      <text>
        <r>
          <rPr>
            <b/>
            <sz val="9"/>
            <color indexed="81"/>
            <rFont val="Tahoma"/>
            <family val="2"/>
          </rPr>
          <t>Lucas Scheidler:</t>
        </r>
        <r>
          <rPr>
            <sz val="9"/>
            <color indexed="81"/>
            <rFont val="Tahoma"/>
            <family val="2"/>
          </rPr>
          <t xml:space="preserve">
EMCOR - Crane rental - Does not include markup</t>
        </r>
      </text>
    </comment>
    <comment ref="AA13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31" authorId="0" shapeId="0">
      <text>
        <r>
          <rPr>
            <b/>
            <sz val="9"/>
            <color indexed="81"/>
            <rFont val="Tahoma"/>
            <family val="2"/>
          </rPr>
          <t>Lucas Scheidler:</t>
        </r>
        <r>
          <rPr>
            <sz val="9"/>
            <color indexed="81"/>
            <rFont val="Tahoma"/>
            <family val="2"/>
          </rPr>
          <t xml:space="preserve">
Weighted average of all laborers. Does not include markup</t>
        </r>
      </text>
    </comment>
    <comment ref="AD131" authorId="0" shapeId="0">
      <text>
        <r>
          <rPr>
            <b/>
            <sz val="9"/>
            <color indexed="81"/>
            <rFont val="Tahoma"/>
            <family val="2"/>
          </rPr>
          <t>Lucas Scheidler:</t>
        </r>
        <r>
          <rPr>
            <sz val="9"/>
            <color indexed="81"/>
            <rFont val="Tahoma"/>
            <family val="2"/>
          </rPr>
          <t xml:space="preserve">
Does not include markup</t>
        </r>
      </text>
    </comment>
    <comment ref="AE131"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31" authorId="0" shapeId="0">
      <text>
        <r>
          <rPr>
            <b/>
            <sz val="9"/>
            <color indexed="81"/>
            <rFont val="Tahoma"/>
            <family val="2"/>
          </rPr>
          <t>Lucas Scheidler:</t>
        </r>
        <r>
          <rPr>
            <sz val="9"/>
            <color indexed="81"/>
            <rFont val="Tahoma"/>
            <family val="2"/>
          </rPr>
          <t xml:space="preserve">
EMCOR - Rigging/crane,  - Does not include markup</t>
        </r>
      </text>
    </comment>
    <comment ref="AG131"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W132" authorId="0" shapeId="0">
      <text>
        <r>
          <rPr>
            <b/>
            <sz val="9"/>
            <color indexed="81"/>
            <rFont val="Tahoma"/>
            <family val="2"/>
          </rPr>
          <t>Lucas Scheidler:</t>
        </r>
        <r>
          <rPr>
            <sz val="9"/>
            <color indexed="81"/>
            <rFont val="Tahoma"/>
            <family val="2"/>
          </rPr>
          <t xml:space="preserve">
Weighted average of all laborers. Does not include markup</t>
        </r>
      </text>
    </comment>
    <comment ref="X132" authorId="0" shapeId="0">
      <text>
        <r>
          <rPr>
            <b/>
            <sz val="9"/>
            <color indexed="81"/>
            <rFont val="Tahoma"/>
            <family val="2"/>
          </rPr>
          <t>Lucas Scheidler:</t>
        </r>
        <r>
          <rPr>
            <sz val="9"/>
            <color indexed="81"/>
            <rFont val="Tahoma"/>
            <family val="2"/>
          </rPr>
          <t xml:space="preserve">
Does not include markup</t>
        </r>
      </text>
    </comment>
    <comment ref="Y132"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32" authorId="0" shapeId="0">
      <text>
        <r>
          <rPr>
            <b/>
            <sz val="9"/>
            <color indexed="81"/>
            <rFont val="Tahoma"/>
            <family val="2"/>
          </rPr>
          <t>Lucas Scheidler:</t>
        </r>
        <r>
          <rPr>
            <sz val="9"/>
            <color indexed="81"/>
            <rFont val="Tahoma"/>
            <family val="2"/>
          </rPr>
          <t xml:space="preserve">
EMCOR - Crane rental - Does not include markup</t>
        </r>
      </text>
    </comment>
    <comment ref="AA13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32" authorId="0" shapeId="0">
      <text>
        <r>
          <rPr>
            <b/>
            <sz val="9"/>
            <color indexed="81"/>
            <rFont val="Tahoma"/>
            <family val="2"/>
          </rPr>
          <t>Lucas Scheidler:</t>
        </r>
        <r>
          <rPr>
            <sz val="9"/>
            <color indexed="81"/>
            <rFont val="Tahoma"/>
            <family val="2"/>
          </rPr>
          <t xml:space="preserve">
Weighted average of all laborers. Does not include markup</t>
        </r>
      </text>
    </comment>
    <comment ref="AD132" authorId="0" shapeId="0">
      <text>
        <r>
          <rPr>
            <b/>
            <sz val="9"/>
            <color indexed="81"/>
            <rFont val="Tahoma"/>
            <family val="2"/>
          </rPr>
          <t>Lucas Scheidler:</t>
        </r>
        <r>
          <rPr>
            <sz val="9"/>
            <color indexed="81"/>
            <rFont val="Tahoma"/>
            <family val="2"/>
          </rPr>
          <t xml:space="preserve">
Does not include markup</t>
        </r>
      </text>
    </comment>
    <comment ref="AE132"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32" authorId="0" shapeId="0">
      <text>
        <r>
          <rPr>
            <b/>
            <sz val="9"/>
            <color indexed="81"/>
            <rFont val="Tahoma"/>
            <family val="2"/>
          </rPr>
          <t>Lucas Scheidler:</t>
        </r>
        <r>
          <rPr>
            <sz val="9"/>
            <color indexed="81"/>
            <rFont val="Tahoma"/>
            <family val="2"/>
          </rPr>
          <t xml:space="preserve">
EMCOR - Rigging/crane, - Does not include markup</t>
        </r>
      </text>
    </comment>
    <comment ref="AG132"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AP133" authorId="0" shapeId="0">
      <text>
        <r>
          <rPr>
            <b/>
            <sz val="9"/>
            <color indexed="81"/>
            <rFont val="Tahoma"/>
            <family val="2"/>
          </rPr>
          <t>Lucas Scheidler:</t>
        </r>
        <r>
          <rPr>
            <sz val="9"/>
            <color indexed="81"/>
            <rFont val="Tahoma"/>
            <family val="2"/>
          </rPr>
          <t xml:space="preserve">
National average crew Q-7</t>
        </r>
      </text>
    </comment>
    <comment ref="K149" authorId="0" shapeId="0">
      <text>
        <r>
          <rPr>
            <b/>
            <sz val="9"/>
            <color indexed="81"/>
            <rFont val="Tahoma"/>
            <family val="2"/>
          </rPr>
          <t>Lucas Scheidler:</t>
        </r>
        <r>
          <rPr>
            <sz val="9"/>
            <color indexed="81"/>
            <rFont val="Tahoma"/>
            <family val="2"/>
          </rPr>
          <t xml:space="preserve">
average artificial bids</t>
        </r>
      </text>
    </comment>
    <comment ref="O149" authorId="0" shapeId="0">
      <text>
        <r>
          <rPr>
            <b/>
            <sz val="9"/>
            <color indexed="81"/>
            <rFont val="Tahoma"/>
            <family val="2"/>
          </rPr>
          <t>Lucas Scheidler:</t>
        </r>
        <r>
          <rPr>
            <sz val="9"/>
            <color indexed="81"/>
            <rFont val="Tahoma"/>
            <family val="2"/>
          </rPr>
          <t xml:space="preserve">
average hours/ton for 80 - 350 ton screw</t>
        </r>
      </text>
    </comment>
    <comment ref="W149" authorId="0" shapeId="0">
      <text>
        <r>
          <rPr>
            <b/>
            <sz val="9"/>
            <color indexed="81"/>
            <rFont val="Tahoma"/>
            <family val="2"/>
          </rPr>
          <t>Lucas Scheidler:</t>
        </r>
        <r>
          <rPr>
            <sz val="9"/>
            <color indexed="81"/>
            <rFont val="Tahoma"/>
            <family val="2"/>
          </rPr>
          <t xml:space="preserve">
Weighted average of all laborers. Does not include markup</t>
        </r>
      </text>
    </comment>
    <comment ref="X149" authorId="0" shapeId="0">
      <text>
        <r>
          <rPr>
            <b/>
            <sz val="9"/>
            <color indexed="81"/>
            <rFont val="Tahoma"/>
            <family val="2"/>
          </rPr>
          <t>Lucas Scheidler:</t>
        </r>
        <r>
          <rPr>
            <sz val="9"/>
            <color indexed="81"/>
            <rFont val="Tahoma"/>
            <family val="2"/>
          </rPr>
          <t xml:space="preserve">
Does not include markup</t>
        </r>
      </text>
    </comment>
    <comment ref="Y149"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49" authorId="0" shapeId="0">
      <text>
        <r>
          <rPr>
            <b/>
            <sz val="9"/>
            <color indexed="81"/>
            <rFont val="Tahoma"/>
            <family val="2"/>
          </rPr>
          <t>Lucas Scheidler:</t>
        </r>
        <r>
          <rPr>
            <sz val="9"/>
            <color indexed="81"/>
            <rFont val="Tahoma"/>
            <family val="2"/>
          </rPr>
          <t xml:space="preserve">
EMCOR - Crane rental - Does not include markup</t>
        </r>
      </text>
    </comment>
    <comment ref="AA14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49" authorId="0" shapeId="0">
      <text>
        <r>
          <rPr>
            <b/>
            <sz val="9"/>
            <color indexed="81"/>
            <rFont val="Tahoma"/>
            <family val="2"/>
          </rPr>
          <t>Lucas Scheidler:</t>
        </r>
        <r>
          <rPr>
            <sz val="9"/>
            <color indexed="81"/>
            <rFont val="Tahoma"/>
            <family val="2"/>
          </rPr>
          <t xml:space="preserve">
Weighted average of all laborers. Does not include markup</t>
        </r>
      </text>
    </comment>
    <comment ref="AD149" authorId="0" shapeId="0">
      <text>
        <r>
          <rPr>
            <b/>
            <sz val="9"/>
            <color indexed="81"/>
            <rFont val="Tahoma"/>
            <family val="2"/>
          </rPr>
          <t>Lucas Scheidler:</t>
        </r>
        <r>
          <rPr>
            <sz val="9"/>
            <color indexed="81"/>
            <rFont val="Tahoma"/>
            <family val="2"/>
          </rPr>
          <t xml:space="preserve">
Does not include markup</t>
        </r>
      </text>
    </comment>
    <comment ref="AE149"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49" authorId="0" shapeId="0">
      <text>
        <r>
          <rPr>
            <b/>
            <sz val="9"/>
            <color indexed="81"/>
            <rFont val="Tahoma"/>
            <family val="2"/>
          </rPr>
          <t>Lucas Scheidler:</t>
        </r>
        <r>
          <rPr>
            <sz val="9"/>
            <color indexed="81"/>
            <rFont val="Tahoma"/>
            <family val="2"/>
          </rPr>
          <t xml:space="preserve">
EMCOR - Crane rental- Does not include markup</t>
        </r>
      </text>
    </comment>
    <comment ref="AG14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O150" authorId="0" shapeId="0">
      <text>
        <r>
          <rPr>
            <b/>
            <sz val="9"/>
            <color indexed="81"/>
            <rFont val="Tahoma"/>
            <family val="2"/>
          </rPr>
          <t>Lucas Scheidler:</t>
        </r>
        <r>
          <rPr>
            <sz val="9"/>
            <color indexed="81"/>
            <rFont val="Tahoma"/>
            <family val="2"/>
          </rPr>
          <t xml:space="preserve">
average hours/ton for 2 - 30 ton scroll</t>
        </r>
      </text>
    </comment>
    <comment ref="W150" authorId="0" shapeId="0">
      <text>
        <r>
          <rPr>
            <b/>
            <sz val="9"/>
            <color indexed="81"/>
            <rFont val="Tahoma"/>
            <family val="2"/>
          </rPr>
          <t>Lucas Scheidler:</t>
        </r>
        <r>
          <rPr>
            <sz val="9"/>
            <color indexed="81"/>
            <rFont val="Tahoma"/>
            <family val="2"/>
          </rPr>
          <t xml:space="preserve">
Weighted average of all laborers. Does not include markup</t>
        </r>
      </text>
    </comment>
    <comment ref="X150" authorId="0" shapeId="0">
      <text>
        <r>
          <rPr>
            <b/>
            <sz val="9"/>
            <color indexed="81"/>
            <rFont val="Tahoma"/>
            <family val="2"/>
          </rPr>
          <t>Lucas Scheidler:</t>
        </r>
        <r>
          <rPr>
            <sz val="9"/>
            <color indexed="81"/>
            <rFont val="Tahoma"/>
            <family val="2"/>
          </rPr>
          <t xml:space="preserve">
Does not include markup</t>
        </r>
      </text>
    </comment>
    <comment ref="Y150"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50" authorId="0" shapeId="0">
      <text>
        <r>
          <rPr>
            <b/>
            <sz val="9"/>
            <color indexed="81"/>
            <rFont val="Tahoma"/>
            <family val="2"/>
          </rPr>
          <t>Lucas Scheidler:</t>
        </r>
        <r>
          <rPr>
            <sz val="9"/>
            <color indexed="81"/>
            <rFont val="Tahoma"/>
            <family val="2"/>
          </rPr>
          <t xml:space="preserve">
EMCOR - Crane rental - Does not include markup</t>
        </r>
      </text>
    </comment>
    <comment ref="AA150"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50" authorId="0" shapeId="0">
      <text>
        <r>
          <rPr>
            <b/>
            <sz val="9"/>
            <color indexed="81"/>
            <rFont val="Tahoma"/>
            <family val="2"/>
          </rPr>
          <t>Lucas Scheidler:</t>
        </r>
        <r>
          <rPr>
            <sz val="9"/>
            <color indexed="81"/>
            <rFont val="Tahoma"/>
            <family val="2"/>
          </rPr>
          <t xml:space="preserve">
Weighted average of all laborers. Does not include markup</t>
        </r>
      </text>
    </comment>
    <comment ref="AD150" authorId="0" shapeId="0">
      <text>
        <r>
          <rPr>
            <b/>
            <sz val="9"/>
            <color indexed="81"/>
            <rFont val="Tahoma"/>
            <family val="2"/>
          </rPr>
          <t>Lucas Scheidler:</t>
        </r>
        <r>
          <rPr>
            <sz val="9"/>
            <color indexed="81"/>
            <rFont val="Tahoma"/>
            <family val="2"/>
          </rPr>
          <t xml:space="preserve">
Does not include markup</t>
        </r>
      </text>
    </comment>
    <comment ref="AE150"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50" authorId="0" shapeId="0">
      <text>
        <r>
          <rPr>
            <b/>
            <sz val="9"/>
            <color indexed="81"/>
            <rFont val="Tahoma"/>
            <family val="2"/>
          </rPr>
          <t>Lucas Scheidler:</t>
        </r>
        <r>
          <rPr>
            <sz val="9"/>
            <color indexed="81"/>
            <rFont val="Tahoma"/>
            <family val="2"/>
          </rPr>
          <t xml:space="preserve">
EMCOR - Crane rental- Does not include markup</t>
        </r>
      </text>
    </comment>
    <comment ref="AG150"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O151" authorId="0" shapeId="0">
      <text>
        <r>
          <rPr>
            <b/>
            <sz val="9"/>
            <color indexed="81"/>
            <rFont val="Tahoma"/>
            <family val="2"/>
          </rPr>
          <t>Lucas Scheidler:</t>
        </r>
        <r>
          <rPr>
            <sz val="9"/>
            <color indexed="81"/>
            <rFont val="Tahoma"/>
            <family val="2"/>
          </rPr>
          <t xml:space="preserve">
average hours/ton for 400 - 2500 ton centrifugal</t>
        </r>
      </text>
    </comment>
    <comment ref="W151" authorId="0" shapeId="0">
      <text>
        <r>
          <rPr>
            <b/>
            <sz val="9"/>
            <color indexed="81"/>
            <rFont val="Tahoma"/>
            <family val="2"/>
          </rPr>
          <t>Lucas Scheidler:</t>
        </r>
        <r>
          <rPr>
            <sz val="9"/>
            <color indexed="81"/>
            <rFont val="Tahoma"/>
            <family val="2"/>
          </rPr>
          <t xml:space="preserve">
Weighted average of all laborers. Does not include markup</t>
        </r>
      </text>
    </comment>
    <comment ref="X151" authorId="0" shapeId="0">
      <text>
        <r>
          <rPr>
            <b/>
            <sz val="9"/>
            <color indexed="81"/>
            <rFont val="Tahoma"/>
            <family val="2"/>
          </rPr>
          <t>Lucas Scheidler:</t>
        </r>
        <r>
          <rPr>
            <sz val="9"/>
            <color indexed="81"/>
            <rFont val="Tahoma"/>
            <family val="2"/>
          </rPr>
          <t xml:space="preserve">
Does not include markup</t>
        </r>
      </text>
    </comment>
    <comment ref="Y151"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51" authorId="0" shapeId="0">
      <text>
        <r>
          <rPr>
            <b/>
            <sz val="9"/>
            <color indexed="81"/>
            <rFont val="Tahoma"/>
            <family val="2"/>
          </rPr>
          <t>Lucas Scheidler:</t>
        </r>
        <r>
          <rPr>
            <sz val="9"/>
            <color indexed="81"/>
            <rFont val="Tahoma"/>
            <family val="2"/>
          </rPr>
          <t xml:space="preserve">
EMCOR - Crane rental - Does not include markup</t>
        </r>
      </text>
    </comment>
    <comment ref="AA15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51" authorId="0" shapeId="0">
      <text>
        <r>
          <rPr>
            <b/>
            <sz val="9"/>
            <color indexed="81"/>
            <rFont val="Tahoma"/>
            <family val="2"/>
          </rPr>
          <t>Lucas Scheidler:</t>
        </r>
        <r>
          <rPr>
            <sz val="9"/>
            <color indexed="81"/>
            <rFont val="Tahoma"/>
            <family val="2"/>
          </rPr>
          <t xml:space="preserve">
Weighted average of all laborers. Does not include markup</t>
        </r>
      </text>
    </comment>
    <comment ref="AD151" authorId="0" shapeId="0">
      <text>
        <r>
          <rPr>
            <b/>
            <sz val="9"/>
            <color indexed="81"/>
            <rFont val="Tahoma"/>
            <family val="2"/>
          </rPr>
          <t>Lucas Scheidler:</t>
        </r>
        <r>
          <rPr>
            <sz val="9"/>
            <color indexed="81"/>
            <rFont val="Tahoma"/>
            <family val="2"/>
          </rPr>
          <t xml:space="preserve">
Does not include markup</t>
        </r>
      </text>
    </comment>
    <comment ref="AE151"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51" authorId="0" shapeId="0">
      <text>
        <r>
          <rPr>
            <b/>
            <sz val="9"/>
            <color indexed="81"/>
            <rFont val="Tahoma"/>
            <family val="2"/>
          </rPr>
          <t>Lucas Scheidler:</t>
        </r>
        <r>
          <rPr>
            <sz val="9"/>
            <color indexed="81"/>
            <rFont val="Tahoma"/>
            <family val="2"/>
          </rPr>
          <t xml:space="preserve">
EMCOR - Crane rental- Does not include markup</t>
        </r>
      </text>
    </comment>
    <comment ref="AG15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152" authorId="0" shapeId="0">
      <text>
        <r>
          <rPr>
            <b/>
            <sz val="9"/>
            <color indexed="81"/>
            <rFont val="Tahoma"/>
            <family val="2"/>
          </rPr>
          <t>Lucas Scheidler:</t>
        </r>
        <r>
          <rPr>
            <sz val="9"/>
            <color indexed="81"/>
            <rFont val="Tahoma"/>
            <family val="2"/>
          </rPr>
          <t xml:space="preserve">
Weighted average of all laborers. Does not include markup</t>
        </r>
      </text>
    </comment>
    <comment ref="X152" authorId="0" shapeId="0">
      <text>
        <r>
          <rPr>
            <b/>
            <sz val="9"/>
            <color indexed="81"/>
            <rFont val="Tahoma"/>
            <family val="2"/>
          </rPr>
          <t>Lucas Scheidler:</t>
        </r>
        <r>
          <rPr>
            <sz val="9"/>
            <color indexed="81"/>
            <rFont val="Tahoma"/>
            <family val="2"/>
          </rPr>
          <t xml:space="preserve">
Does not include markup</t>
        </r>
      </text>
    </comment>
    <comment ref="Y152"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52" authorId="0" shapeId="0">
      <text>
        <r>
          <rPr>
            <b/>
            <sz val="9"/>
            <color indexed="81"/>
            <rFont val="Tahoma"/>
            <family val="2"/>
          </rPr>
          <t>Lucas Scheidler:</t>
        </r>
        <r>
          <rPr>
            <sz val="9"/>
            <color indexed="81"/>
            <rFont val="Tahoma"/>
            <family val="2"/>
          </rPr>
          <t xml:space="preserve">
EMCOR - Crane rental - Does not include markup</t>
        </r>
      </text>
    </comment>
    <comment ref="AA15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52" authorId="0" shapeId="0">
      <text>
        <r>
          <rPr>
            <b/>
            <sz val="9"/>
            <color indexed="81"/>
            <rFont val="Tahoma"/>
            <family val="2"/>
          </rPr>
          <t>Lucas Scheidler:</t>
        </r>
        <r>
          <rPr>
            <sz val="9"/>
            <color indexed="81"/>
            <rFont val="Tahoma"/>
            <family val="2"/>
          </rPr>
          <t xml:space="preserve">
Weighted average of all laborers. Does not include markup</t>
        </r>
      </text>
    </comment>
    <comment ref="AD152" authorId="0" shapeId="0">
      <text>
        <r>
          <rPr>
            <b/>
            <sz val="9"/>
            <color indexed="81"/>
            <rFont val="Tahoma"/>
            <family val="2"/>
          </rPr>
          <t>Lucas Scheidler:</t>
        </r>
        <r>
          <rPr>
            <sz val="9"/>
            <color indexed="81"/>
            <rFont val="Tahoma"/>
            <family val="2"/>
          </rPr>
          <t xml:space="preserve">
Does not include markup</t>
        </r>
      </text>
    </comment>
    <comment ref="AE152"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52" authorId="0" shapeId="0">
      <text>
        <r>
          <rPr>
            <b/>
            <sz val="9"/>
            <color indexed="81"/>
            <rFont val="Tahoma"/>
            <family val="2"/>
          </rPr>
          <t>Lucas Scheidler:</t>
        </r>
        <r>
          <rPr>
            <sz val="9"/>
            <color indexed="81"/>
            <rFont val="Tahoma"/>
            <family val="2"/>
          </rPr>
          <t xml:space="preserve">
EMCOR - Crane rental- Does not include markup</t>
        </r>
      </text>
    </comment>
    <comment ref="AG15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153" authorId="0" shapeId="0">
      <text>
        <r>
          <rPr>
            <b/>
            <sz val="9"/>
            <color indexed="81"/>
            <rFont val="Tahoma"/>
            <family val="2"/>
          </rPr>
          <t>Lucas Scheidler:</t>
        </r>
        <r>
          <rPr>
            <sz val="9"/>
            <color indexed="81"/>
            <rFont val="Tahoma"/>
            <family val="2"/>
          </rPr>
          <t xml:space="preserve">
Weighted average of all laborers. Does not include markup</t>
        </r>
      </text>
    </comment>
    <comment ref="X153" authorId="0" shapeId="0">
      <text>
        <r>
          <rPr>
            <b/>
            <sz val="9"/>
            <color indexed="81"/>
            <rFont val="Tahoma"/>
            <family val="2"/>
          </rPr>
          <t>Lucas Scheidler:</t>
        </r>
        <r>
          <rPr>
            <sz val="9"/>
            <color indexed="81"/>
            <rFont val="Tahoma"/>
            <family val="2"/>
          </rPr>
          <t xml:space="preserve">
Does not include markup</t>
        </r>
      </text>
    </comment>
    <comment ref="Y153"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53" authorId="0" shapeId="0">
      <text>
        <r>
          <rPr>
            <b/>
            <sz val="9"/>
            <color indexed="81"/>
            <rFont val="Tahoma"/>
            <family val="2"/>
          </rPr>
          <t>Lucas Scheidler:</t>
        </r>
        <r>
          <rPr>
            <sz val="9"/>
            <color indexed="81"/>
            <rFont val="Tahoma"/>
            <family val="2"/>
          </rPr>
          <t xml:space="preserve">
EMCOR - Crane rental - Does not include markup</t>
        </r>
      </text>
    </comment>
    <comment ref="AA15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53" authorId="0" shapeId="0">
      <text>
        <r>
          <rPr>
            <b/>
            <sz val="9"/>
            <color indexed="81"/>
            <rFont val="Tahoma"/>
            <family val="2"/>
          </rPr>
          <t>Lucas Scheidler:</t>
        </r>
        <r>
          <rPr>
            <sz val="9"/>
            <color indexed="81"/>
            <rFont val="Tahoma"/>
            <family val="2"/>
          </rPr>
          <t xml:space="preserve">
Weighted average of all laborers. Does not include markup</t>
        </r>
      </text>
    </comment>
    <comment ref="AD153" authorId="0" shapeId="0">
      <text>
        <r>
          <rPr>
            <b/>
            <sz val="9"/>
            <color indexed="81"/>
            <rFont val="Tahoma"/>
            <family val="2"/>
          </rPr>
          <t>Lucas Scheidler:</t>
        </r>
        <r>
          <rPr>
            <sz val="9"/>
            <color indexed="81"/>
            <rFont val="Tahoma"/>
            <family val="2"/>
          </rPr>
          <t xml:space="preserve">
Does not include markup</t>
        </r>
      </text>
    </comment>
    <comment ref="AE153"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53" authorId="0" shapeId="0">
      <text>
        <r>
          <rPr>
            <b/>
            <sz val="9"/>
            <color indexed="81"/>
            <rFont val="Tahoma"/>
            <family val="2"/>
          </rPr>
          <t>Lucas Scheidler:</t>
        </r>
        <r>
          <rPr>
            <sz val="9"/>
            <color indexed="81"/>
            <rFont val="Tahoma"/>
            <family val="2"/>
          </rPr>
          <t xml:space="preserve">
EMCOR - Crane rental- Does not include markup</t>
        </r>
      </text>
    </comment>
    <comment ref="AG15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154" authorId="0" shapeId="0">
      <text>
        <r>
          <rPr>
            <b/>
            <sz val="9"/>
            <color indexed="81"/>
            <rFont val="Tahoma"/>
            <family val="2"/>
          </rPr>
          <t>Lucas Scheidler:</t>
        </r>
        <r>
          <rPr>
            <sz val="9"/>
            <color indexed="81"/>
            <rFont val="Tahoma"/>
            <family val="2"/>
          </rPr>
          <t xml:space="preserve">
Weighted average of all laborers. Does not include markup</t>
        </r>
      </text>
    </comment>
    <comment ref="X154" authorId="0" shapeId="0">
      <text>
        <r>
          <rPr>
            <b/>
            <sz val="9"/>
            <color indexed="81"/>
            <rFont val="Tahoma"/>
            <family val="2"/>
          </rPr>
          <t>Lucas Scheidler:</t>
        </r>
        <r>
          <rPr>
            <sz val="9"/>
            <color indexed="81"/>
            <rFont val="Tahoma"/>
            <family val="2"/>
          </rPr>
          <t xml:space="preserve">
Does not include markup</t>
        </r>
      </text>
    </comment>
    <comment ref="Y154"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54" authorId="0" shapeId="0">
      <text>
        <r>
          <rPr>
            <b/>
            <sz val="9"/>
            <color indexed="81"/>
            <rFont val="Tahoma"/>
            <family val="2"/>
          </rPr>
          <t>Lucas Scheidler:</t>
        </r>
        <r>
          <rPr>
            <sz val="9"/>
            <color indexed="81"/>
            <rFont val="Tahoma"/>
            <family val="2"/>
          </rPr>
          <t xml:space="preserve">
EMCOR - Crane rental - Does not include markup</t>
        </r>
      </text>
    </comment>
    <comment ref="AA15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54" authorId="0" shapeId="0">
      <text>
        <r>
          <rPr>
            <b/>
            <sz val="9"/>
            <color indexed="81"/>
            <rFont val="Tahoma"/>
            <family val="2"/>
          </rPr>
          <t>Lucas Scheidler:</t>
        </r>
        <r>
          <rPr>
            <sz val="9"/>
            <color indexed="81"/>
            <rFont val="Tahoma"/>
            <family val="2"/>
          </rPr>
          <t xml:space="preserve">
Weighted average of all laborers. Does not include markup</t>
        </r>
      </text>
    </comment>
    <comment ref="AD154" authorId="0" shapeId="0">
      <text>
        <r>
          <rPr>
            <b/>
            <sz val="9"/>
            <color indexed="81"/>
            <rFont val="Tahoma"/>
            <family val="2"/>
          </rPr>
          <t>Lucas Scheidler:</t>
        </r>
        <r>
          <rPr>
            <sz val="9"/>
            <color indexed="81"/>
            <rFont val="Tahoma"/>
            <family val="2"/>
          </rPr>
          <t xml:space="preserve">
Does not include markup</t>
        </r>
      </text>
    </comment>
    <comment ref="AE154"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54" authorId="0" shapeId="0">
      <text>
        <r>
          <rPr>
            <b/>
            <sz val="9"/>
            <color indexed="81"/>
            <rFont val="Tahoma"/>
            <family val="2"/>
          </rPr>
          <t>Lucas Scheidler:</t>
        </r>
        <r>
          <rPr>
            <sz val="9"/>
            <color indexed="81"/>
            <rFont val="Tahoma"/>
            <family val="2"/>
          </rPr>
          <t xml:space="preserve">
EMCOR - Crane rental- Does not include markup</t>
        </r>
      </text>
    </comment>
    <comment ref="AG15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155" authorId="0" shapeId="0">
      <text>
        <r>
          <rPr>
            <b/>
            <sz val="9"/>
            <color indexed="81"/>
            <rFont val="Tahoma"/>
            <family val="2"/>
          </rPr>
          <t>Lucas Scheidler:</t>
        </r>
        <r>
          <rPr>
            <sz val="9"/>
            <color indexed="81"/>
            <rFont val="Tahoma"/>
            <family val="2"/>
          </rPr>
          <t xml:space="preserve">
Weighted average of all laborers. Does not include markup</t>
        </r>
      </text>
    </comment>
    <comment ref="X155" authorId="0" shapeId="0">
      <text>
        <r>
          <rPr>
            <b/>
            <sz val="9"/>
            <color indexed="81"/>
            <rFont val="Tahoma"/>
            <family val="2"/>
          </rPr>
          <t>Lucas Scheidler:</t>
        </r>
        <r>
          <rPr>
            <sz val="9"/>
            <color indexed="81"/>
            <rFont val="Tahoma"/>
            <family val="2"/>
          </rPr>
          <t xml:space="preserve">
Does not include markup</t>
        </r>
      </text>
    </comment>
    <comment ref="Y155"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55" authorId="0" shapeId="0">
      <text>
        <r>
          <rPr>
            <b/>
            <sz val="9"/>
            <color indexed="81"/>
            <rFont val="Tahoma"/>
            <family val="2"/>
          </rPr>
          <t>Lucas Scheidler:</t>
        </r>
        <r>
          <rPr>
            <sz val="9"/>
            <color indexed="81"/>
            <rFont val="Tahoma"/>
            <family val="2"/>
          </rPr>
          <t xml:space="preserve">
EMCOR - Crane rental - Does not include markup</t>
        </r>
      </text>
    </comment>
    <comment ref="AA15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55" authorId="0" shapeId="0">
      <text>
        <r>
          <rPr>
            <b/>
            <sz val="9"/>
            <color indexed="81"/>
            <rFont val="Tahoma"/>
            <family val="2"/>
          </rPr>
          <t>Lucas Scheidler:</t>
        </r>
        <r>
          <rPr>
            <sz val="9"/>
            <color indexed="81"/>
            <rFont val="Tahoma"/>
            <family val="2"/>
          </rPr>
          <t xml:space="preserve">
Weighted average of all laborers. Does not include markup</t>
        </r>
      </text>
    </comment>
    <comment ref="AD155" authorId="0" shapeId="0">
      <text>
        <r>
          <rPr>
            <b/>
            <sz val="9"/>
            <color indexed="81"/>
            <rFont val="Tahoma"/>
            <family val="2"/>
          </rPr>
          <t>Lucas Scheidler:</t>
        </r>
        <r>
          <rPr>
            <sz val="9"/>
            <color indexed="81"/>
            <rFont val="Tahoma"/>
            <family val="2"/>
          </rPr>
          <t xml:space="preserve">
Does not include markup</t>
        </r>
      </text>
    </comment>
    <comment ref="AE155"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55" authorId="0" shapeId="0">
      <text>
        <r>
          <rPr>
            <b/>
            <sz val="9"/>
            <color indexed="81"/>
            <rFont val="Tahoma"/>
            <family val="2"/>
          </rPr>
          <t>Lucas Scheidler:</t>
        </r>
        <r>
          <rPr>
            <sz val="9"/>
            <color indexed="81"/>
            <rFont val="Tahoma"/>
            <family val="2"/>
          </rPr>
          <t xml:space="preserve">
EMCOR - Crane rental- Does not include markup</t>
        </r>
      </text>
    </comment>
    <comment ref="AG15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156" authorId="0" shapeId="0">
      <text>
        <r>
          <rPr>
            <b/>
            <sz val="9"/>
            <color indexed="81"/>
            <rFont val="Tahoma"/>
            <family val="2"/>
          </rPr>
          <t>Lucas Scheidler:</t>
        </r>
        <r>
          <rPr>
            <sz val="9"/>
            <color indexed="81"/>
            <rFont val="Tahoma"/>
            <family val="2"/>
          </rPr>
          <t xml:space="preserve">
Weighted average of all laborers. Does not include markup</t>
        </r>
      </text>
    </comment>
    <comment ref="X156" authorId="0" shapeId="0">
      <text>
        <r>
          <rPr>
            <b/>
            <sz val="9"/>
            <color indexed="81"/>
            <rFont val="Tahoma"/>
            <family val="2"/>
          </rPr>
          <t>Lucas Scheidler:</t>
        </r>
        <r>
          <rPr>
            <sz val="9"/>
            <color indexed="81"/>
            <rFont val="Tahoma"/>
            <family val="2"/>
          </rPr>
          <t xml:space="preserve">
Does not include markup</t>
        </r>
      </text>
    </comment>
    <comment ref="Y156"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56" authorId="0" shapeId="0">
      <text>
        <r>
          <rPr>
            <b/>
            <sz val="9"/>
            <color indexed="81"/>
            <rFont val="Tahoma"/>
            <family val="2"/>
          </rPr>
          <t>Lucas Scheidler:</t>
        </r>
        <r>
          <rPr>
            <sz val="9"/>
            <color indexed="81"/>
            <rFont val="Tahoma"/>
            <family val="2"/>
          </rPr>
          <t xml:space="preserve">
EMCOR - Crane rental - Does not include markup</t>
        </r>
      </text>
    </comment>
    <comment ref="AA15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56" authorId="0" shapeId="0">
      <text>
        <r>
          <rPr>
            <b/>
            <sz val="9"/>
            <color indexed="81"/>
            <rFont val="Tahoma"/>
            <family val="2"/>
          </rPr>
          <t>Lucas Scheidler:</t>
        </r>
        <r>
          <rPr>
            <sz val="9"/>
            <color indexed="81"/>
            <rFont val="Tahoma"/>
            <family val="2"/>
          </rPr>
          <t xml:space="preserve">
Weighted average of all laborers. Does not include markup</t>
        </r>
      </text>
    </comment>
    <comment ref="AD156" authorId="0" shapeId="0">
      <text>
        <r>
          <rPr>
            <b/>
            <sz val="9"/>
            <color indexed="81"/>
            <rFont val="Tahoma"/>
            <family val="2"/>
          </rPr>
          <t>Lucas Scheidler:</t>
        </r>
        <r>
          <rPr>
            <sz val="9"/>
            <color indexed="81"/>
            <rFont val="Tahoma"/>
            <family val="2"/>
          </rPr>
          <t xml:space="preserve">
Does not include markup</t>
        </r>
      </text>
    </comment>
    <comment ref="AE156"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56" authorId="0" shapeId="0">
      <text>
        <r>
          <rPr>
            <b/>
            <sz val="9"/>
            <color indexed="81"/>
            <rFont val="Tahoma"/>
            <family val="2"/>
          </rPr>
          <t>Lucas Scheidler:</t>
        </r>
        <r>
          <rPr>
            <sz val="9"/>
            <color indexed="81"/>
            <rFont val="Tahoma"/>
            <family val="2"/>
          </rPr>
          <t xml:space="preserve">
EMCOR - Crane rental- Does not include markup</t>
        </r>
      </text>
    </comment>
    <comment ref="AG15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157" authorId="0" shapeId="0">
      <text>
        <r>
          <rPr>
            <b/>
            <sz val="9"/>
            <color indexed="81"/>
            <rFont val="Tahoma"/>
            <family val="2"/>
          </rPr>
          <t>Lucas Scheidler:</t>
        </r>
        <r>
          <rPr>
            <sz val="9"/>
            <color indexed="81"/>
            <rFont val="Tahoma"/>
            <family val="2"/>
          </rPr>
          <t xml:space="preserve">
Weighted average of all laborers. Does not include markup</t>
        </r>
      </text>
    </comment>
    <comment ref="X157" authorId="0" shapeId="0">
      <text>
        <r>
          <rPr>
            <b/>
            <sz val="9"/>
            <color indexed="81"/>
            <rFont val="Tahoma"/>
            <family val="2"/>
          </rPr>
          <t>Lucas Scheidler:</t>
        </r>
        <r>
          <rPr>
            <sz val="9"/>
            <color indexed="81"/>
            <rFont val="Tahoma"/>
            <family val="2"/>
          </rPr>
          <t xml:space="preserve">
Does not include markup</t>
        </r>
      </text>
    </comment>
    <comment ref="Y157"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57" authorId="0" shapeId="0">
      <text>
        <r>
          <rPr>
            <b/>
            <sz val="9"/>
            <color indexed="81"/>
            <rFont val="Tahoma"/>
            <family val="2"/>
          </rPr>
          <t>Lucas Scheidler:</t>
        </r>
        <r>
          <rPr>
            <sz val="9"/>
            <color indexed="81"/>
            <rFont val="Tahoma"/>
            <family val="2"/>
          </rPr>
          <t xml:space="preserve">
EMCOR - Crane rental - Does not include markup</t>
        </r>
      </text>
    </comment>
    <comment ref="AA15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57" authorId="0" shapeId="0">
      <text>
        <r>
          <rPr>
            <b/>
            <sz val="9"/>
            <color indexed="81"/>
            <rFont val="Tahoma"/>
            <family val="2"/>
          </rPr>
          <t>Lucas Scheidler:</t>
        </r>
        <r>
          <rPr>
            <sz val="9"/>
            <color indexed="81"/>
            <rFont val="Tahoma"/>
            <family val="2"/>
          </rPr>
          <t xml:space="preserve">
Weighted average of all laborers. Does not include markup</t>
        </r>
      </text>
    </comment>
    <comment ref="AD157" authorId="0" shapeId="0">
      <text>
        <r>
          <rPr>
            <b/>
            <sz val="9"/>
            <color indexed="81"/>
            <rFont val="Tahoma"/>
            <family val="2"/>
          </rPr>
          <t>Lucas Scheidler:</t>
        </r>
        <r>
          <rPr>
            <sz val="9"/>
            <color indexed="81"/>
            <rFont val="Tahoma"/>
            <family val="2"/>
          </rPr>
          <t xml:space="preserve">
Does not include markup</t>
        </r>
      </text>
    </comment>
    <comment ref="AE157"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57" authorId="0" shapeId="0">
      <text>
        <r>
          <rPr>
            <b/>
            <sz val="9"/>
            <color indexed="81"/>
            <rFont val="Tahoma"/>
            <family val="2"/>
          </rPr>
          <t>Lucas Scheidler:</t>
        </r>
        <r>
          <rPr>
            <sz val="9"/>
            <color indexed="81"/>
            <rFont val="Tahoma"/>
            <family val="2"/>
          </rPr>
          <t xml:space="preserve">
EMCOR - Crane rental- Does not include markup</t>
        </r>
      </text>
    </comment>
    <comment ref="AG15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U158" authorId="0" shapeId="0">
      <text>
        <r>
          <rPr>
            <b/>
            <sz val="9"/>
            <color indexed="81"/>
            <rFont val="Tahoma"/>
            <family val="2"/>
          </rPr>
          <t>Lucas Scheidler:</t>
        </r>
        <r>
          <rPr>
            <sz val="9"/>
            <color indexed="81"/>
            <rFont val="Tahoma"/>
            <family val="2"/>
          </rPr>
          <t xml:space="preserve">
RSMeans iteam 236426</t>
        </r>
      </text>
    </comment>
    <comment ref="AP158" authorId="0" shapeId="0">
      <text>
        <r>
          <rPr>
            <b/>
            <sz val="9"/>
            <color indexed="81"/>
            <rFont val="Tahoma"/>
            <family val="2"/>
          </rPr>
          <t>Lucas Scheidler:</t>
        </r>
        <r>
          <rPr>
            <sz val="9"/>
            <color indexed="81"/>
            <rFont val="Tahoma"/>
            <family val="2"/>
          </rPr>
          <t xml:space="preserve">
National average crew Q-7</t>
        </r>
      </text>
    </comment>
    <comment ref="U165" authorId="0" shapeId="0">
      <text>
        <r>
          <rPr>
            <b/>
            <sz val="9"/>
            <color indexed="81"/>
            <rFont val="Tahoma"/>
            <family val="2"/>
          </rPr>
          <t>Lucas Scheidler:</t>
        </r>
        <r>
          <rPr>
            <sz val="9"/>
            <color indexed="81"/>
            <rFont val="Tahoma"/>
            <family val="2"/>
          </rPr>
          <t xml:space="preserve">
RSMeans iteam 236423</t>
        </r>
      </text>
    </comment>
    <comment ref="AP165" authorId="0" shapeId="0">
      <text>
        <r>
          <rPr>
            <b/>
            <sz val="9"/>
            <color indexed="81"/>
            <rFont val="Tahoma"/>
            <family val="2"/>
          </rPr>
          <t>Lucas Scheidler:</t>
        </r>
        <r>
          <rPr>
            <sz val="9"/>
            <color indexed="81"/>
            <rFont val="Tahoma"/>
            <family val="2"/>
          </rPr>
          <t xml:space="preserve">
National average crew Q-5</t>
        </r>
      </text>
    </comment>
    <comment ref="AP169" authorId="0" shapeId="0">
      <text>
        <r>
          <rPr>
            <b/>
            <sz val="9"/>
            <color indexed="81"/>
            <rFont val="Tahoma"/>
            <family val="2"/>
          </rPr>
          <t>Lucas Scheidler:</t>
        </r>
        <r>
          <rPr>
            <sz val="9"/>
            <color indexed="81"/>
            <rFont val="Tahoma"/>
            <family val="2"/>
          </rPr>
          <t xml:space="preserve">
National average crew Q-6</t>
        </r>
      </text>
    </comment>
    <comment ref="AP171" authorId="0" shapeId="0">
      <text>
        <r>
          <rPr>
            <b/>
            <sz val="9"/>
            <color indexed="81"/>
            <rFont val="Tahoma"/>
            <family val="2"/>
          </rPr>
          <t>Lucas Scheidler:</t>
        </r>
        <r>
          <rPr>
            <sz val="9"/>
            <color indexed="81"/>
            <rFont val="Tahoma"/>
            <family val="2"/>
          </rPr>
          <t xml:space="preserve">
National average crew Q-7</t>
        </r>
      </text>
    </comment>
    <comment ref="U173" authorId="0" shapeId="0">
      <text>
        <r>
          <rPr>
            <b/>
            <sz val="9"/>
            <color indexed="81"/>
            <rFont val="Tahoma"/>
            <family val="2"/>
          </rPr>
          <t>Lucas Scheidler:</t>
        </r>
        <r>
          <rPr>
            <sz val="9"/>
            <color indexed="81"/>
            <rFont val="Tahoma"/>
            <family val="2"/>
          </rPr>
          <t xml:space="preserve">
RSMeans item 236416</t>
        </r>
      </text>
    </comment>
    <comment ref="A184" authorId="0" shapeId="0">
      <text>
        <r>
          <rPr>
            <b/>
            <sz val="9"/>
            <color indexed="81"/>
            <rFont val="Tahoma"/>
            <family val="2"/>
          </rPr>
          <t>Lucas Scheidler:</t>
        </r>
        <r>
          <rPr>
            <sz val="9"/>
            <color indexed="81"/>
            <rFont val="Tahoma"/>
            <family val="2"/>
          </rPr>
          <t xml:space="preserve">
Workpapers indicate there are no centrifugal VSD chillers &lt; 150 tons in the market. Our research confirms this. Additionally, our subcontractors found very few (4) units less than 300 tons. Given the small sample size, a regression model could only be developed for units &gt;= 300 tons.</t>
        </r>
      </text>
    </comment>
    <comment ref="K184" authorId="0" shapeId="0">
      <text>
        <r>
          <rPr>
            <b/>
            <sz val="9"/>
            <color indexed="81"/>
            <rFont val="Tahoma"/>
            <family val="2"/>
          </rPr>
          <t>Lucas Scheidler:</t>
        </r>
        <r>
          <rPr>
            <sz val="9"/>
            <color indexed="81"/>
            <rFont val="Tahoma"/>
            <family val="2"/>
          </rPr>
          <t xml:space="preserve">
average artificial bids</t>
        </r>
      </text>
    </comment>
    <comment ref="O184" authorId="0" shapeId="0">
      <text>
        <r>
          <rPr>
            <b/>
            <sz val="9"/>
            <color indexed="81"/>
            <rFont val="Tahoma"/>
            <family val="2"/>
          </rPr>
          <t>Lucas Scheidler:</t>
        </r>
        <r>
          <rPr>
            <sz val="9"/>
            <color indexed="81"/>
            <rFont val="Tahoma"/>
            <family val="2"/>
          </rPr>
          <t xml:space="preserve">
average hours/ton for 400 - 2500 ton centrifugal</t>
        </r>
      </text>
    </comment>
    <comment ref="W184" authorId="0" shapeId="0">
      <text>
        <r>
          <rPr>
            <b/>
            <sz val="9"/>
            <color indexed="81"/>
            <rFont val="Tahoma"/>
            <family val="2"/>
          </rPr>
          <t>Lucas Scheidler:</t>
        </r>
        <r>
          <rPr>
            <sz val="9"/>
            <color indexed="81"/>
            <rFont val="Tahoma"/>
            <family val="2"/>
          </rPr>
          <t xml:space="preserve">
Weighted average of all laborers. Does not include markup</t>
        </r>
      </text>
    </comment>
    <comment ref="X184" authorId="0" shapeId="0">
      <text>
        <r>
          <rPr>
            <b/>
            <sz val="9"/>
            <color indexed="81"/>
            <rFont val="Tahoma"/>
            <family val="2"/>
          </rPr>
          <t>Lucas Scheidler:</t>
        </r>
        <r>
          <rPr>
            <sz val="9"/>
            <color indexed="81"/>
            <rFont val="Tahoma"/>
            <family val="2"/>
          </rPr>
          <t xml:space="preserve">
Does not include markup</t>
        </r>
      </text>
    </comment>
    <comment ref="Y184"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84" authorId="0" shapeId="0">
      <text>
        <r>
          <rPr>
            <b/>
            <sz val="9"/>
            <color indexed="81"/>
            <rFont val="Tahoma"/>
            <family val="2"/>
          </rPr>
          <t>Lucas Scheidler:</t>
        </r>
        <r>
          <rPr>
            <sz val="9"/>
            <color indexed="81"/>
            <rFont val="Tahoma"/>
            <family val="2"/>
          </rPr>
          <t xml:space="preserve">
EMCOR - Crane rental - Does not include markup</t>
        </r>
      </text>
    </comment>
    <comment ref="AA18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84" authorId="0" shapeId="0">
      <text>
        <r>
          <rPr>
            <b/>
            <sz val="9"/>
            <color indexed="81"/>
            <rFont val="Tahoma"/>
            <family val="2"/>
          </rPr>
          <t>Lucas Scheidler:</t>
        </r>
        <r>
          <rPr>
            <sz val="9"/>
            <color indexed="81"/>
            <rFont val="Tahoma"/>
            <family val="2"/>
          </rPr>
          <t xml:space="preserve">
Weighted average of all laborers. Does not include markup</t>
        </r>
      </text>
    </comment>
    <comment ref="AD184" authorId="0" shapeId="0">
      <text>
        <r>
          <rPr>
            <b/>
            <sz val="9"/>
            <color indexed="81"/>
            <rFont val="Tahoma"/>
            <family val="2"/>
          </rPr>
          <t>Lucas Scheidler:</t>
        </r>
        <r>
          <rPr>
            <sz val="9"/>
            <color indexed="81"/>
            <rFont val="Tahoma"/>
            <family val="2"/>
          </rPr>
          <t xml:space="preserve">
Does not include markup</t>
        </r>
      </text>
    </comment>
    <comment ref="AE184"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84" authorId="0" shapeId="0">
      <text>
        <r>
          <rPr>
            <b/>
            <sz val="9"/>
            <color indexed="81"/>
            <rFont val="Tahoma"/>
            <family val="2"/>
          </rPr>
          <t>Lucas Scheidler:</t>
        </r>
        <r>
          <rPr>
            <sz val="9"/>
            <color indexed="81"/>
            <rFont val="Tahoma"/>
            <family val="2"/>
          </rPr>
          <t xml:space="preserve">
EMCOR - Crane rental- Does not include markup</t>
        </r>
      </text>
    </comment>
    <comment ref="AG18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185" authorId="0" shapeId="0">
      <text>
        <r>
          <rPr>
            <b/>
            <sz val="9"/>
            <color indexed="81"/>
            <rFont val="Tahoma"/>
            <family val="2"/>
          </rPr>
          <t>Lucas Scheidler:</t>
        </r>
        <r>
          <rPr>
            <sz val="9"/>
            <color indexed="81"/>
            <rFont val="Tahoma"/>
            <family val="2"/>
          </rPr>
          <t xml:space="preserve">
Weighted average of all laborers. Does not include markup</t>
        </r>
      </text>
    </comment>
    <comment ref="X185" authorId="0" shapeId="0">
      <text>
        <r>
          <rPr>
            <b/>
            <sz val="9"/>
            <color indexed="81"/>
            <rFont val="Tahoma"/>
            <family val="2"/>
          </rPr>
          <t>Lucas Scheidler:</t>
        </r>
        <r>
          <rPr>
            <sz val="9"/>
            <color indexed="81"/>
            <rFont val="Tahoma"/>
            <family val="2"/>
          </rPr>
          <t xml:space="preserve">
Does not include markup</t>
        </r>
      </text>
    </comment>
    <comment ref="Y185"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85" authorId="0" shapeId="0">
      <text>
        <r>
          <rPr>
            <b/>
            <sz val="9"/>
            <color indexed="81"/>
            <rFont val="Tahoma"/>
            <family val="2"/>
          </rPr>
          <t>Lucas Scheidler:</t>
        </r>
        <r>
          <rPr>
            <sz val="9"/>
            <color indexed="81"/>
            <rFont val="Tahoma"/>
            <family val="2"/>
          </rPr>
          <t xml:space="preserve">
EMCOR - Crane rental - Does not include markup</t>
        </r>
      </text>
    </comment>
    <comment ref="AA18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85" authorId="0" shapeId="0">
      <text>
        <r>
          <rPr>
            <b/>
            <sz val="9"/>
            <color indexed="81"/>
            <rFont val="Tahoma"/>
            <family val="2"/>
          </rPr>
          <t>Lucas Scheidler:</t>
        </r>
        <r>
          <rPr>
            <sz val="9"/>
            <color indexed="81"/>
            <rFont val="Tahoma"/>
            <family val="2"/>
          </rPr>
          <t xml:space="preserve">
Weighted average of all laborers. Does not include markup</t>
        </r>
      </text>
    </comment>
    <comment ref="AD185" authorId="0" shapeId="0">
      <text>
        <r>
          <rPr>
            <b/>
            <sz val="9"/>
            <color indexed="81"/>
            <rFont val="Tahoma"/>
            <family val="2"/>
          </rPr>
          <t>Lucas Scheidler:</t>
        </r>
        <r>
          <rPr>
            <sz val="9"/>
            <color indexed="81"/>
            <rFont val="Tahoma"/>
            <family val="2"/>
          </rPr>
          <t xml:space="preserve">
Does not include markup</t>
        </r>
      </text>
    </comment>
    <comment ref="AE185"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85" authorId="0" shapeId="0">
      <text>
        <r>
          <rPr>
            <b/>
            <sz val="9"/>
            <color indexed="81"/>
            <rFont val="Tahoma"/>
            <family val="2"/>
          </rPr>
          <t>Lucas Scheidler:</t>
        </r>
        <r>
          <rPr>
            <sz val="9"/>
            <color indexed="81"/>
            <rFont val="Tahoma"/>
            <family val="2"/>
          </rPr>
          <t xml:space="preserve">
EMCOR - Crane rental- Does not include markup</t>
        </r>
      </text>
    </comment>
    <comment ref="AG18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186" authorId="0" shapeId="0">
      <text>
        <r>
          <rPr>
            <b/>
            <sz val="9"/>
            <color indexed="81"/>
            <rFont val="Tahoma"/>
            <family val="2"/>
          </rPr>
          <t>Lucas Scheidler:</t>
        </r>
        <r>
          <rPr>
            <sz val="9"/>
            <color indexed="81"/>
            <rFont val="Tahoma"/>
            <family val="2"/>
          </rPr>
          <t xml:space="preserve">
Weighted average of all laborers. Does not include markup</t>
        </r>
      </text>
    </comment>
    <comment ref="X186" authorId="0" shapeId="0">
      <text>
        <r>
          <rPr>
            <b/>
            <sz val="9"/>
            <color indexed="81"/>
            <rFont val="Tahoma"/>
            <family val="2"/>
          </rPr>
          <t>Lucas Scheidler:</t>
        </r>
        <r>
          <rPr>
            <sz val="9"/>
            <color indexed="81"/>
            <rFont val="Tahoma"/>
            <family val="2"/>
          </rPr>
          <t xml:space="preserve">
Does not include markup</t>
        </r>
      </text>
    </comment>
    <comment ref="Y186"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86" authorId="0" shapeId="0">
      <text>
        <r>
          <rPr>
            <b/>
            <sz val="9"/>
            <color indexed="81"/>
            <rFont val="Tahoma"/>
            <family val="2"/>
          </rPr>
          <t>Lucas Scheidler:</t>
        </r>
        <r>
          <rPr>
            <sz val="9"/>
            <color indexed="81"/>
            <rFont val="Tahoma"/>
            <family val="2"/>
          </rPr>
          <t xml:space="preserve">
EMCOR - Crane rental - Does not include markup</t>
        </r>
      </text>
    </comment>
    <comment ref="AA18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86" authorId="0" shapeId="0">
      <text>
        <r>
          <rPr>
            <b/>
            <sz val="9"/>
            <color indexed="81"/>
            <rFont val="Tahoma"/>
            <family val="2"/>
          </rPr>
          <t>Lucas Scheidler:</t>
        </r>
        <r>
          <rPr>
            <sz val="9"/>
            <color indexed="81"/>
            <rFont val="Tahoma"/>
            <family val="2"/>
          </rPr>
          <t xml:space="preserve">
Weighted average of all laborers. Does not include markup</t>
        </r>
      </text>
    </comment>
    <comment ref="AD186" authorId="0" shapeId="0">
      <text>
        <r>
          <rPr>
            <b/>
            <sz val="9"/>
            <color indexed="81"/>
            <rFont val="Tahoma"/>
            <family val="2"/>
          </rPr>
          <t>Lucas Scheidler:</t>
        </r>
        <r>
          <rPr>
            <sz val="9"/>
            <color indexed="81"/>
            <rFont val="Tahoma"/>
            <family val="2"/>
          </rPr>
          <t xml:space="preserve">
Does not include markup</t>
        </r>
      </text>
    </comment>
    <comment ref="AE186"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186" authorId="0" shapeId="0">
      <text>
        <r>
          <rPr>
            <b/>
            <sz val="9"/>
            <color indexed="81"/>
            <rFont val="Tahoma"/>
            <family val="2"/>
          </rPr>
          <t>Lucas Scheidler:</t>
        </r>
        <r>
          <rPr>
            <sz val="9"/>
            <color indexed="81"/>
            <rFont val="Tahoma"/>
            <family val="2"/>
          </rPr>
          <t xml:space="preserve">
EMCOR - Crane rental- Does not include markup</t>
        </r>
      </text>
    </comment>
    <comment ref="AG18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U187" authorId="0" shapeId="0">
      <text>
        <r>
          <rPr>
            <b/>
            <sz val="9"/>
            <color indexed="81"/>
            <rFont val="Tahoma"/>
            <family val="2"/>
          </rPr>
          <t>Lucas Scheidler:</t>
        </r>
        <r>
          <rPr>
            <sz val="9"/>
            <color indexed="81"/>
            <rFont val="Tahoma"/>
            <family val="2"/>
          </rPr>
          <t xml:space="preserve">
RSMeans item 236416</t>
        </r>
      </text>
    </comment>
    <comment ref="AP187" authorId="0" shapeId="0">
      <text>
        <r>
          <rPr>
            <b/>
            <sz val="9"/>
            <color indexed="81"/>
            <rFont val="Tahoma"/>
            <family val="2"/>
          </rPr>
          <t>Lucas Scheidler:</t>
        </r>
        <r>
          <rPr>
            <sz val="9"/>
            <color indexed="81"/>
            <rFont val="Tahoma"/>
            <family val="2"/>
          </rPr>
          <t xml:space="preserve">
National average crew Q-7</t>
        </r>
      </text>
    </comment>
    <comment ref="E198" authorId="0" shapeId="0">
      <text>
        <r>
          <rPr>
            <b/>
            <sz val="9"/>
            <color indexed="81"/>
            <rFont val="Tahoma"/>
            <family val="2"/>
          </rPr>
          <t>Lucas Scheidler:</t>
        </r>
        <r>
          <rPr>
            <sz val="9"/>
            <color indexed="81"/>
            <rFont val="Tahoma"/>
            <family val="2"/>
          </rPr>
          <t xml:space="preserve">
Based on 5 ton unit</t>
        </r>
      </text>
    </comment>
    <comment ref="I198" authorId="0" shapeId="0">
      <text>
        <r>
          <rPr>
            <b/>
            <sz val="9"/>
            <color indexed="81"/>
            <rFont val="Tahoma"/>
            <family val="2"/>
          </rPr>
          <t>Lucas Scheidler:</t>
        </r>
        <r>
          <rPr>
            <sz val="9"/>
            <color indexed="81"/>
            <rFont val="Tahoma"/>
            <family val="2"/>
          </rPr>
          <t xml:space="preserve">
disposal - based on a 5 ton unit</t>
        </r>
      </text>
    </comment>
    <comment ref="J198" authorId="0" shapeId="0">
      <text>
        <r>
          <rPr>
            <b/>
            <sz val="9"/>
            <color indexed="81"/>
            <rFont val="Tahoma"/>
            <family val="2"/>
          </rPr>
          <t>Lucas Scheidler:</t>
        </r>
        <r>
          <rPr>
            <sz val="9"/>
            <color indexed="81"/>
            <rFont val="Tahoma"/>
            <family val="2"/>
          </rPr>
          <t xml:space="preserve">
Crane rental  </t>
        </r>
      </text>
    </comment>
    <comment ref="K198" authorId="0" shapeId="0">
      <text>
        <r>
          <rPr>
            <b/>
            <sz val="9"/>
            <color indexed="81"/>
            <rFont val="Tahoma"/>
            <family val="2"/>
          </rPr>
          <t>Lucas Scheidler:</t>
        </r>
        <r>
          <rPr>
            <sz val="9"/>
            <color indexed="81"/>
            <rFont val="Tahoma"/>
            <family val="2"/>
          </rPr>
          <t xml:space="preserve">
average artificial bids</t>
        </r>
      </text>
    </comment>
    <comment ref="O198" authorId="0" shapeId="0">
      <text>
        <r>
          <rPr>
            <b/>
            <sz val="9"/>
            <color indexed="81"/>
            <rFont val="Tahoma"/>
            <family val="2"/>
          </rPr>
          <t>Lucas Scheidler:</t>
        </r>
        <r>
          <rPr>
            <sz val="9"/>
            <color indexed="81"/>
            <rFont val="Tahoma"/>
            <family val="2"/>
          </rPr>
          <t xml:space="preserve">
average hrs/ton for 1.5 to 5 ton units (from RS means for small packaged DX)</t>
        </r>
      </text>
    </comment>
    <comment ref="U198"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199" authorId="0" shapeId="0">
      <text>
        <r>
          <rPr>
            <b/>
            <sz val="9"/>
            <color indexed="81"/>
            <rFont val="Tahoma"/>
            <family val="2"/>
          </rPr>
          <t>Lucas Scheidler:</t>
        </r>
        <r>
          <rPr>
            <sz val="9"/>
            <color indexed="81"/>
            <rFont val="Tahoma"/>
            <family val="2"/>
          </rPr>
          <t xml:space="preserve">
There were no artificial bids for small packaged HP. Miscellaneous costs per ton are assumed to be the same as for large package HP)</t>
        </r>
      </text>
    </comment>
    <comment ref="U199"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200"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201"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202"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203" authorId="0" shape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 - These are the small packaged DX entries from RS means - assume the labor hours for small packaged air source heat pumps are similar.</t>
        </r>
      </text>
    </comment>
    <comment ref="AP203" authorId="0" shapeId="0">
      <text>
        <r>
          <rPr>
            <b/>
            <sz val="9"/>
            <color indexed="81"/>
            <rFont val="Tahoma"/>
            <family val="2"/>
          </rPr>
          <t>Lucas Scheidler:</t>
        </r>
        <r>
          <rPr>
            <sz val="9"/>
            <color indexed="81"/>
            <rFont val="Tahoma"/>
            <family val="2"/>
          </rPr>
          <t xml:space="preserve">
National Average - crew Q-5
</t>
        </r>
      </text>
    </comment>
    <comment ref="K211" authorId="0" shapeId="0">
      <text>
        <r>
          <rPr>
            <b/>
            <sz val="9"/>
            <color indexed="81"/>
            <rFont val="Tahoma"/>
            <family val="2"/>
          </rPr>
          <t>Lucas Scheidler:</t>
        </r>
        <r>
          <rPr>
            <sz val="9"/>
            <color indexed="81"/>
            <rFont val="Tahoma"/>
            <family val="2"/>
          </rPr>
          <t xml:space="preserve">
Average artificial bids</t>
        </r>
      </text>
    </comment>
    <comment ref="O211" authorId="0" shapeId="0">
      <text>
        <r>
          <rPr>
            <b/>
            <sz val="9"/>
            <color indexed="81"/>
            <rFont val="Tahoma"/>
            <family val="2"/>
          </rPr>
          <t>Lucas Scheidler:</t>
        </r>
        <r>
          <rPr>
            <sz val="9"/>
            <color indexed="81"/>
            <rFont val="Tahoma"/>
            <family val="2"/>
          </rPr>
          <t xml:space="preserve">
average hours/ton for 7.5 to 20 ton unit</t>
        </r>
      </text>
    </comment>
    <comment ref="W211" authorId="0" shapeId="0">
      <text>
        <r>
          <rPr>
            <b/>
            <sz val="9"/>
            <color indexed="81"/>
            <rFont val="Tahoma"/>
            <family val="2"/>
          </rPr>
          <t>Lucas Scheidler:</t>
        </r>
        <r>
          <rPr>
            <sz val="9"/>
            <color indexed="81"/>
            <rFont val="Tahoma"/>
            <family val="2"/>
          </rPr>
          <t xml:space="preserve">
Weighted average of all laborers. Does not include markup</t>
        </r>
      </text>
    </comment>
    <comment ref="X211" authorId="0" shapeId="0">
      <text>
        <r>
          <rPr>
            <b/>
            <sz val="9"/>
            <color indexed="81"/>
            <rFont val="Tahoma"/>
            <family val="2"/>
          </rPr>
          <t>Lucas Scheidler:</t>
        </r>
        <r>
          <rPr>
            <sz val="9"/>
            <color indexed="81"/>
            <rFont val="Tahoma"/>
            <family val="2"/>
          </rPr>
          <t xml:space="preserve">
Does not include markup</t>
        </r>
      </text>
    </comment>
    <comment ref="Y211" authorId="0" shape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211" authorId="0" shapeId="0">
      <text>
        <r>
          <rPr>
            <b/>
            <sz val="9"/>
            <color indexed="81"/>
            <rFont val="Tahoma"/>
            <family val="2"/>
          </rPr>
          <t>Lucas Scheidler:</t>
        </r>
        <r>
          <rPr>
            <sz val="9"/>
            <color indexed="81"/>
            <rFont val="Tahoma"/>
            <family val="2"/>
          </rPr>
          <t xml:space="preserve">
EMCOR - Crane - Does not include markup</t>
        </r>
      </text>
    </comment>
    <comment ref="AA21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1" authorId="0" shapeId="0">
      <text>
        <r>
          <rPr>
            <b/>
            <sz val="9"/>
            <color indexed="81"/>
            <rFont val="Tahoma"/>
            <family val="2"/>
          </rPr>
          <t>Lucas Scheidler:</t>
        </r>
        <r>
          <rPr>
            <sz val="9"/>
            <color indexed="81"/>
            <rFont val="Tahoma"/>
            <family val="2"/>
          </rPr>
          <t xml:space="preserve">
Weighted average of all laborers. Does not include markup</t>
        </r>
      </text>
    </comment>
    <comment ref="AD211" authorId="0" shapeId="0">
      <text>
        <r>
          <rPr>
            <b/>
            <sz val="9"/>
            <color indexed="81"/>
            <rFont val="Tahoma"/>
            <family val="2"/>
          </rPr>
          <t>Lucas Scheidler:</t>
        </r>
        <r>
          <rPr>
            <sz val="9"/>
            <color indexed="81"/>
            <rFont val="Tahoma"/>
            <family val="2"/>
          </rPr>
          <t xml:space="preserve">
Does not include markup</t>
        </r>
      </text>
    </comment>
    <comment ref="AE211" authorId="0" shapeId="0">
      <text>
        <r>
          <rPr>
            <b/>
            <sz val="9"/>
            <color indexed="81"/>
            <rFont val="Tahoma"/>
            <family val="2"/>
          </rPr>
          <t>Lucas Scheidler:</t>
        </r>
        <r>
          <rPr>
            <sz val="9"/>
            <color indexed="81"/>
            <rFont val="Tahoma"/>
            <family val="2"/>
          </rPr>
          <t xml:space="preserve">
EMCOR - small tools / etc- Does not include markup or tax</t>
        </r>
      </text>
    </comment>
    <comment ref="AF211" authorId="0" shapeId="0">
      <text>
        <r>
          <rPr>
            <b/>
            <sz val="9"/>
            <color indexed="81"/>
            <rFont val="Tahoma"/>
            <family val="2"/>
          </rPr>
          <t>Lucas Scheidler:</t>
        </r>
        <r>
          <rPr>
            <sz val="9"/>
            <color indexed="81"/>
            <rFont val="Tahoma"/>
            <family val="2"/>
          </rPr>
          <t xml:space="preserve">
EMCOR - Rigging/crane,  - Does not include markup</t>
        </r>
      </text>
    </comment>
    <comment ref="AG211"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S212" authorId="0" shapeId="0">
      <text>
        <r>
          <rPr>
            <b/>
            <sz val="9"/>
            <color indexed="81"/>
            <rFont val="Tahoma"/>
            <family val="2"/>
          </rPr>
          <t>Lucas Scheidler:</t>
        </r>
        <r>
          <rPr>
            <sz val="9"/>
            <color indexed="81"/>
            <rFont val="Tahoma"/>
            <family val="2"/>
          </rPr>
          <t xml:space="preserve">
Crane rental  - based on 7.5 ton unit</t>
        </r>
      </text>
    </comment>
    <comment ref="W212" authorId="0" shapeId="0">
      <text>
        <r>
          <rPr>
            <b/>
            <sz val="9"/>
            <color indexed="81"/>
            <rFont val="Tahoma"/>
            <family val="2"/>
          </rPr>
          <t>Lucas Scheidler:</t>
        </r>
        <r>
          <rPr>
            <sz val="9"/>
            <color indexed="81"/>
            <rFont val="Tahoma"/>
            <family val="2"/>
          </rPr>
          <t xml:space="preserve">
Weighted average of all laborers. Does not include markup</t>
        </r>
      </text>
    </comment>
    <comment ref="X212" authorId="0" shapeId="0">
      <text>
        <r>
          <rPr>
            <b/>
            <sz val="9"/>
            <color indexed="81"/>
            <rFont val="Tahoma"/>
            <family val="2"/>
          </rPr>
          <t>Lucas Scheidler:</t>
        </r>
        <r>
          <rPr>
            <sz val="9"/>
            <color indexed="81"/>
            <rFont val="Tahoma"/>
            <family val="2"/>
          </rPr>
          <t xml:space="preserve">
Does not include markup</t>
        </r>
      </text>
    </comment>
    <comment ref="Y212" authorId="0" shapeId="0">
      <text>
        <r>
          <rPr>
            <b/>
            <sz val="9"/>
            <color indexed="81"/>
            <rFont val="Tahoma"/>
            <family val="2"/>
          </rPr>
          <t>Lucas Scheidler:</t>
        </r>
        <r>
          <rPr>
            <sz val="9"/>
            <color indexed="81"/>
            <rFont val="Tahoma"/>
            <family val="2"/>
          </rPr>
          <t xml:space="preserve">
EMCOR -misc electrical and plumbing, misc sheet metal, curb - Does not include markup or tax</t>
        </r>
      </text>
    </comment>
    <comment ref="Z212" authorId="0" shapeId="0">
      <text>
        <r>
          <rPr>
            <b/>
            <sz val="9"/>
            <color indexed="81"/>
            <rFont val="Tahoma"/>
            <family val="2"/>
          </rPr>
          <t>Lucas Scheidler:</t>
        </r>
        <r>
          <rPr>
            <sz val="9"/>
            <color indexed="81"/>
            <rFont val="Tahoma"/>
            <family val="2"/>
          </rPr>
          <t xml:space="preserve">
EMCOR - Crane - Does not include markup</t>
        </r>
      </text>
    </comment>
    <comment ref="AA21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2" authorId="0" shapeId="0">
      <text>
        <r>
          <rPr>
            <b/>
            <sz val="9"/>
            <color indexed="81"/>
            <rFont val="Tahoma"/>
            <family val="2"/>
          </rPr>
          <t>Lucas Scheidler:</t>
        </r>
        <r>
          <rPr>
            <sz val="9"/>
            <color indexed="81"/>
            <rFont val="Tahoma"/>
            <family val="2"/>
          </rPr>
          <t xml:space="preserve">
Weighted average of all laborers. Does not include markup</t>
        </r>
      </text>
    </comment>
    <comment ref="AD212" authorId="0" shapeId="0">
      <text>
        <r>
          <rPr>
            <b/>
            <sz val="9"/>
            <color indexed="81"/>
            <rFont val="Tahoma"/>
            <family val="2"/>
          </rPr>
          <t>Lucas Scheidler:</t>
        </r>
        <r>
          <rPr>
            <sz val="9"/>
            <color indexed="81"/>
            <rFont val="Tahoma"/>
            <family val="2"/>
          </rPr>
          <t xml:space="preserve">
Does not include markup</t>
        </r>
      </text>
    </comment>
    <comment ref="AE212" authorId="0" shapeId="0">
      <text>
        <r>
          <rPr>
            <b/>
            <sz val="9"/>
            <color indexed="81"/>
            <rFont val="Tahoma"/>
            <family val="2"/>
          </rPr>
          <t>Lucas Scheidler:</t>
        </r>
        <r>
          <rPr>
            <sz val="9"/>
            <color indexed="81"/>
            <rFont val="Tahoma"/>
            <family val="2"/>
          </rPr>
          <t xml:space="preserve">
EMCOR - small tools / etc- Does not include markup or tax</t>
        </r>
      </text>
    </comment>
    <comment ref="AF212" authorId="0" shapeId="0">
      <text>
        <r>
          <rPr>
            <b/>
            <sz val="9"/>
            <color indexed="81"/>
            <rFont val="Tahoma"/>
            <family val="2"/>
          </rPr>
          <t>Lucas Scheidler:</t>
        </r>
        <r>
          <rPr>
            <sz val="9"/>
            <color indexed="81"/>
            <rFont val="Tahoma"/>
            <family val="2"/>
          </rPr>
          <t xml:space="preserve">
EMCOR - Rigging/crane,  - Does not include markup</t>
        </r>
      </text>
    </comment>
    <comment ref="AG212"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J213" authorId="0" shapeId="0">
      <text>
        <r>
          <rPr>
            <b/>
            <sz val="9"/>
            <color indexed="81"/>
            <rFont val="Tahoma"/>
            <family val="2"/>
          </rPr>
          <t>Lucas Scheidler:</t>
        </r>
        <r>
          <rPr>
            <sz val="9"/>
            <color indexed="81"/>
            <rFont val="Tahoma"/>
            <family val="2"/>
          </rPr>
          <t xml:space="preserve">
Crane rental  -
</t>
        </r>
      </text>
    </comment>
    <comment ref="S213" authorId="0" shapeId="0">
      <text>
        <r>
          <rPr>
            <b/>
            <sz val="9"/>
            <color indexed="81"/>
            <rFont val="Tahoma"/>
            <family val="2"/>
          </rPr>
          <t>Lucas Scheidler:</t>
        </r>
        <r>
          <rPr>
            <sz val="9"/>
            <color indexed="81"/>
            <rFont val="Tahoma"/>
            <family val="2"/>
          </rPr>
          <t xml:space="preserve">
Crane rental  - based on 7.5 ton unit</t>
        </r>
      </text>
    </comment>
    <comment ref="U213" authorId="0" shape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 - These are for large package dx - assume package HP labor hours and rates are similar</t>
        </r>
      </text>
    </comment>
    <comment ref="AP213" authorId="0" shapeId="0">
      <text>
        <r>
          <rPr>
            <b/>
            <sz val="9"/>
            <color indexed="81"/>
            <rFont val="Tahoma"/>
            <family val="2"/>
          </rPr>
          <t>Lucas Scheidler:</t>
        </r>
        <r>
          <rPr>
            <sz val="9"/>
            <color indexed="81"/>
            <rFont val="Tahoma"/>
            <family val="2"/>
          </rPr>
          <t xml:space="preserve">
National Average - crew Q-5
</t>
        </r>
      </text>
    </comment>
    <comment ref="AP216" authorId="0" shapeId="0">
      <text>
        <r>
          <rPr>
            <b/>
            <sz val="9"/>
            <color indexed="81"/>
            <rFont val="Tahoma"/>
            <family val="2"/>
          </rPr>
          <t>Lucas Scheidler:</t>
        </r>
        <r>
          <rPr>
            <sz val="9"/>
            <color indexed="81"/>
            <rFont val="Tahoma"/>
            <family val="2"/>
          </rPr>
          <t xml:space="preserve">
National Average - crew Q-6
</t>
        </r>
      </text>
    </comment>
    <comment ref="K218" authorId="0" shapeId="0">
      <text>
        <r>
          <rPr>
            <b/>
            <sz val="9"/>
            <color indexed="81"/>
            <rFont val="Tahoma"/>
            <family val="2"/>
          </rPr>
          <t>Lucas Scheidler:</t>
        </r>
        <r>
          <rPr>
            <sz val="9"/>
            <color indexed="81"/>
            <rFont val="Tahoma"/>
            <family val="2"/>
          </rPr>
          <t xml:space="preserve">
average RSMeans</t>
        </r>
      </text>
    </comment>
    <comment ref="U218" authorId="0" shapeId="0">
      <text>
        <r>
          <rPr>
            <b/>
            <sz val="9"/>
            <color indexed="81"/>
            <rFont val="Tahoma"/>
            <family val="2"/>
          </rPr>
          <t>Lucas Scheidler:</t>
        </r>
        <r>
          <rPr>
            <sz val="9"/>
            <color indexed="81"/>
            <rFont val="Tahoma"/>
            <family val="2"/>
          </rPr>
          <t xml:space="preserve">
RSMeans item 223430</t>
        </r>
      </text>
    </comment>
    <comment ref="AP218" authorId="0" shapeId="0">
      <text>
        <r>
          <rPr>
            <b/>
            <sz val="9"/>
            <color indexed="81"/>
            <rFont val="Tahoma"/>
            <family val="2"/>
          </rPr>
          <t>Lucas Scheidler:</t>
        </r>
        <r>
          <rPr>
            <sz val="9"/>
            <color indexed="81"/>
            <rFont val="Tahoma"/>
            <family val="2"/>
          </rPr>
          <t xml:space="preserve">
National average 1 plumber</t>
        </r>
      </text>
    </comment>
    <comment ref="K239" authorId="0" shapeId="0">
      <text>
        <r>
          <rPr>
            <b/>
            <sz val="9"/>
            <color indexed="81"/>
            <rFont val="Tahoma"/>
            <family val="2"/>
          </rPr>
          <t>Lucas Scheidler:</t>
        </r>
        <r>
          <rPr>
            <sz val="9"/>
            <color indexed="81"/>
            <rFont val="Tahoma"/>
            <family val="2"/>
          </rPr>
          <t xml:space="preserve">
RSMeans average</t>
        </r>
      </text>
    </comment>
    <comment ref="U239" authorId="0" shapeId="0">
      <text>
        <r>
          <rPr>
            <b/>
            <sz val="9"/>
            <color indexed="81"/>
            <rFont val="Tahoma"/>
            <family val="2"/>
          </rPr>
          <t>Lucas Scheidler:</t>
        </r>
        <r>
          <rPr>
            <sz val="9"/>
            <color indexed="81"/>
            <rFont val="Tahoma"/>
            <family val="2"/>
          </rPr>
          <t xml:space="preserve">
RSMeans item 223413</t>
        </r>
      </text>
    </comment>
    <comment ref="AP239" authorId="0" shapeId="0">
      <text>
        <r>
          <rPr>
            <b/>
            <sz val="9"/>
            <color indexed="81"/>
            <rFont val="Tahoma"/>
            <family val="2"/>
          </rPr>
          <t>Lucas Scheidler:</t>
        </r>
        <r>
          <rPr>
            <sz val="9"/>
            <color indexed="81"/>
            <rFont val="Tahoma"/>
            <family val="2"/>
          </rPr>
          <t xml:space="preserve">
National average 1 plumber</t>
        </r>
      </text>
    </comment>
    <comment ref="T240" authorId="0" shapeId="0">
      <text>
        <r>
          <rPr>
            <b/>
            <sz val="9"/>
            <color indexed="81"/>
            <rFont val="Tahoma"/>
            <family val="2"/>
          </rPr>
          <t>Lucas Scheidler:</t>
        </r>
        <r>
          <rPr>
            <sz val="9"/>
            <color indexed="81"/>
            <rFont val="Tahoma"/>
            <family val="2"/>
          </rPr>
          <t xml:space="preserve">
Capacity not specified. Labor costs not broken out by hours or rate.</t>
        </r>
      </text>
    </comment>
    <comment ref="K250" authorId="0" shapeId="0">
      <text>
        <r>
          <rPr>
            <b/>
            <sz val="9"/>
            <color indexed="81"/>
            <rFont val="Tahoma"/>
            <family val="2"/>
          </rPr>
          <t>Lucas Scheidler:</t>
        </r>
        <r>
          <rPr>
            <sz val="9"/>
            <color indexed="81"/>
            <rFont val="Tahoma"/>
            <family val="2"/>
          </rPr>
          <t xml:space="preserve">
default</t>
        </r>
      </text>
    </comment>
    <comment ref="K261" authorId="0" shapeId="0">
      <text>
        <r>
          <rPr>
            <b/>
            <sz val="9"/>
            <color indexed="81"/>
            <rFont val="Tahoma"/>
            <family val="2"/>
          </rPr>
          <t>Lucas Scheidler:</t>
        </r>
        <r>
          <rPr>
            <sz val="9"/>
            <color indexed="81"/>
            <rFont val="Tahoma"/>
            <family val="2"/>
          </rPr>
          <t xml:space="preserve">
RSMeans average</t>
        </r>
      </text>
    </comment>
    <comment ref="U261" authorId="0" shapeId="0">
      <text>
        <r>
          <rPr>
            <b/>
            <sz val="9"/>
            <color indexed="81"/>
            <rFont val="Tahoma"/>
            <family val="2"/>
          </rPr>
          <t>Lucas Scheidler:</t>
        </r>
        <r>
          <rPr>
            <sz val="9"/>
            <color indexed="81"/>
            <rFont val="Tahoma"/>
            <family val="2"/>
          </rPr>
          <t xml:space="preserve">
RSMeans item 223436</t>
        </r>
      </text>
    </comment>
    <comment ref="AP261" authorId="0" shapeId="0">
      <text>
        <r>
          <rPr>
            <b/>
            <sz val="9"/>
            <color indexed="81"/>
            <rFont val="Tahoma"/>
            <family val="2"/>
          </rPr>
          <t>Lucas Scheidler:</t>
        </r>
        <r>
          <rPr>
            <sz val="9"/>
            <color indexed="81"/>
            <rFont val="Tahoma"/>
            <family val="2"/>
          </rPr>
          <t xml:space="preserve">
National average 1 plumber</t>
        </r>
      </text>
    </comment>
    <comment ref="AP270" authorId="0" shapeId="0">
      <text>
        <r>
          <rPr>
            <b/>
            <sz val="9"/>
            <color indexed="81"/>
            <rFont val="Tahoma"/>
            <family val="2"/>
          </rPr>
          <t>Lucas Scheidler:</t>
        </r>
        <r>
          <rPr>
            <sz val="9"/>
            <color indexed="81"/>
            <rFont val="Tahoma"/>
            <family val="2"/>
          </rPr>
          <t xml:space="preserve">
RSMeans National average crew Q-1</t>
        </r>
      </text>
    </comment>
    <comment ref="K277" authorId="0" shapeId="0">
      <text>
        <r>
          <rPr>
            <b/>
            <sz val="9"/>
            <color indexed="81"/>
            <rFont val="Tahoma"/>
            <family val="2"/>
          </rPr>
          <t>Lucas Scheidler:</t>
        </r>
        <r>
          <rPr>
            <sz val="9"/>
            <color indexed="81"/>
            <rFont val="Tahoma"/>
            <family val="2"/>
          </rPr>
          <t xml:space="preserve">
RSMeans average</t>
        </r>
      </text>
    </comment>
    <comment ref="U277" authorId="0" shapeId="0">
      <text>
        <r>
          <rPr>
            <b/>
            <sz val="9"/>
            <color indexed="81"/>
            <rFont val="Tahoma"/>
            <family val="2"/>
          </rPr>
          <t>Lucas Scheidler:</t>
        </r>
        <r>
          <rPr>
            <sz val="9"/>
            <color indexed="81"/>
            <rFont val="Tahoma"/>
            <family val="2"/>
          </rPr>
          <t xml:space="preserve">
MCS contractor survey question: On average, how long does it take to install wall-mounted occupancy sensors in terms of man-hours per sensor?  Please include in the time required for: wiring, installation, programming, and commissioning.</t>
        </r>
      </text>
    </comment>
    <comment ref="U278" authorId="0" shapeId="0">
      <text>
        <r>
          <rPr>
            <b/>
            <sz val="9"/>
            <color indexed="81"/>
            <rFont val="Tahoma"/>
            <family val="2"/>
          </rPr>
          <t>Lucas Scheidler:</t>
        </r>
        <r>
          <rPr>
            <sz val="9"/>
            <color indexed="81"/>
            <rFont val="Tahoma"/>
            <family val="2"/>
          </rPr>
          <t xml:space="preserve">
MCS lighting contractor survey question: On average, how long does it take to install ceiling-mounted occupancy sensors in terms of man-hours per sensor?  [IF NEEDED: Again, please include in the time required for: wiring, installation, programming, and commissioning.]</t>
        </r>
      </text>
    </comment>
    <comment ref="U279" authorId="0" shapeId="0">
      <text>
        <r>
          <rPr>
            <b/>
            <sz val="9"/>
            <color indexed="81"/>
            <rFont val="Tahoma"/>
            <family val="2"/>
          </rPr>
          <t>Lucas Scheidler:</t>
        </r>
        <r>
          <rPr>
            <sz val="9"/>
            <color indexed="81"/>
            <rFont val="Tahoma"/>
            <family val="2"/>
          </rPr>
          <t xml:space="preserve">
MCS lighting contractor survey question: On average, how long does it take to install fixture-integrated occupancy sensors inside existing fixtures in terms of man-hours per sensor.  Please include the time required for: dismantling and re-assembling the fixture, in addition to wiring, installation, programming, and commissioning.</t>
        </r>
      </text>
    </comment>
    <comment ref="U280" authorId="0" shapeId="0">
      <text>
        <r>
          <rPr>
            <b/>
            <sz val="9"/>
            <color indexed="81"/>
            <rFont val="Tahoma"/>
            <family val="2"/>
          </rPr>
          <t>Lucas Scheidler:</t>
        </r>
        <r>
          <rPr>
            <sz val="9"/>
            <color indexed="81"/>
            <rFont val="Tahoma"/>
            <family val="2"/>
          </rPr>
          <t xml:space="preserve">
RSMeans item 260923</t>
        </r>
      </text>
    </comment>
    <comment ref="AP280" authorId="0" shapeId="0">
      <text>
        <r>
          <rPr>
            <b/>
            <sz val="9"/>
            <color indexed="81"/>
            <rFont val="Tahoma"/>
            <family val="2"/>
          </rPr>
          <t>Lucas Scheidler:</t>
        </r>
        <r>
          <rPr>
            <sz val="9"/>
            <color indexed="81"/>
            <rFont val="Tahoma"/>
            <family val="2"/>
          </rPr>
          <t xml:space="preserve">
National Average - 1 electrician</t>
        </r>
      </text>
    </comment>
    <comment ref="U284" authorId="0" shapeId="0">
      <text>
        <r>
          <rPr>
            <b/>
            <sz val="9"/>
            <color indexed="81"/>
            <rFont val="Tahoma"/>
            <family val="2"/>
          </rPr>
          <t>Lucas Scheidler:</t>
        </r>
        <r>
          <rPr>
            <sz val="9"/>
            <color indexed="81"/>
            <rFont val="Tahoma"/>
            <family val="2"/>
          </rPr>
          <t xml:space="preserve">
M4 Scope of Work (SOW): Install 20 Wall Mounted Occupancy Sensors 
Description:
The building presently has manually operated wall switches in rest rooms and conference rooms.  The building management has decided to install occupancy sensors in all the rest rooms and conference rooms. Please install Watt-Stopper DSW-100 dual Technology Wall Switch or equivalent. Only 1 sensor per room is required. Each room has between two and six fixtures.
Tasks: The following tasks needs to be executed for installing the occupancy sensors
Remove existing manually operated switches from rest rooms and conference rooms
Provide and Install 20 new wall mounted occupancy sensors
Program the sensor to turn on the lights on upon entry of a person into a room, and then turn the lights off from 5 minutes after the room is vacated.
Commission the sensor and verify correct operation 
Dispose the existing manually operated switches
Bid: Please provide the following separately with your bid.
Specific products that will be used
Cost of Materials
Hours estimated  for removal and installation
Hours estimated for preparing items for disposal
Total cost of labor
Cost for extra equipment needed such as a lift. (Lift is not be required for this measure)
Cost of disposal fees that may be required
Taxes
 </t>
        </r>
      </text>
    </comment>
    <comment ref="V284" authorId="0" shapeId="0">
      <text>
        <r>
          <rPr>
            <b/>
            <sz val="9"/>
            <color indexed="81"/>
            <rFont val="Tahoma"/>
            <family val="2"/>
          </rPr>
          <t>Lucas Scheidler:</t>
        </r>
        <r>
          <rPr>
            <sz val="9"/>
            <color indexed="81"/>
            <rFont val="Tahoma"/>
            <family val="2"/>
          </rPr>
          <t xml:space="preserve">
per unit</t>
        </r>
      </text>
    </comment>
    <comment ref="X284" authorId="0" shapeId="0">
      <text>
        <r>
          <rPr>
            <b/>
            <sz val="9"/>
            <color indexed="81"/>
            <rFont val="Tahoma"/>
            <family val="2"/>
          </rPr>
          <t>Lucas Scheidler:</t>
        </r>
        <r>
          <rPr>
            <sz val="9"/>
            <color indexed="81"/>
            <rFont val="Tahoma"/>
            <family val="2"/>
          </rPr>
          <t xml:space="preserve">
per unit</t>
        </r>
      </text>
    </comment>
    <comment ref="Z284" authorId="0" shapeId="0">
      <text>
        <r>
          <rPr>
            <b/>
            <sz val="9"/>
            <color indexed="81"/>
            <rFont val="Tahoma"/>
            <family val="2"/>
          </rPr>
          <t>Lucas Scheidler:</t>
        </r>
        <r>
          <rPr>
            <sz val="9"/>
            <color indexed="81"/>
            <rFont val="Tahoma"/>
            <family val="2"/>
          </rPr>
          <t xml:space="preserve">
per unit disposal</t>
        </r>
      </text>
    </comment>
    <comment ref="AA284" authorId="0" shapeId="0">
      <text>
        <r>
          <rPr>
            <b/>
            <sz val="9"/>
            <color indexed="81"/>
            <rFont val="Tahoma"/>
            <family val="2"/>
          </rPr>
          <t>Lucas Scheidler:</t>
        </r>
        <r>
          <rPr>
            <sz val="9"/>
            <color indexed="81"/>
            <rFont val="Tahoma"/>
            <family val="2"/>
          </rPr>
          <t xml:space="preserve">
per unit taxes</t>
        </r>
      </text>
    </comment>
    <comment ref="Y287" authorId="0" shapeId="0">
      <text>
        <r>
          <rPr>
            <b/>
            <sz val="9"/>
            <color indexed="81"/>
            <rFont val="Tahoma"/>
            <family val="2"/>
          </rPr>
          <t>Lucas Scheidler:</t>
        </r>
        <r>
          <rPr>
            <sz val="9"/>
            <color indexed="81"/>
            <rFont val="Tahoma"/>
            <family val="2"/>
          </rPr>
          <t xml:space="preserve">
unspecified per unit cost</t>
        </r>
      </text>
    </comment>
    <comment ref="U289" authorId="0" shapeId="0">
      <text>
        <r>
          <rPr>
            <b/>
            <sz val="9"/>
            <color indexed="81"/>
            <rFont val="Tahoma"/>
            <family val="2"/>
          </rPr>
          <t>Lucas Scheidler:</t>
        </r>
        <r>
          <rPr>
            <sz val="9"/>
            <color indexed="81"/>
            <rFont val="Tahoma"/>
            <family val="2"/>
          </rPr>
          <t xml:space="preserve">
M5 Scope of Work (SOW): Install 20 Ceiling Mounted Occupancy Sensors 
Description:
The building conference rooms presently do not have occupancy/motion sensors.  The ceiling is 9 ft tall and is a dropped ceiling type. Building management has decided install the ceiling mounted occupancy sensors. Please install Watt Stopper CI-205 Passive Infrared Ceiling Sensor and Watt Stopper BZ-50 Universal Voltage Power Pack or equivalent occupancy sensors as a lighting control strategy. The sensors shall be installed on the dropped ceiling. Only one sensor per room will be required. Each room has between two and six fixtures.
Tasks: The following tasks needs to be executed for installing the occupancy sensors
Identify correct locations for installing the sensors for maximum effectiveness
Provide and install 20 new ceiling mounted occupancy sensors.
Provide and install 20 new power packs for the sensors.
Provide and install all necessary electrical connections.
Program the sensor to turn on the lights on upon entry of a person into a room, and then turn the lights off 5 minutes after the room is vacated.
Commission the sensors and verify correct operation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t>
        </r>
      </text>
    </comment>
    <comment ref="V289" authorId="0" shapeId="0">
      <text>
        <r>
          <rPr>
            <b/>
            <sz val="9"/>
            <color indexed="81"/>
            <rFont val="Tahoma"/>
            <family val="2"/>
          </rPr>
          <t>Lucas Scheidler:</t>
        </r>
        <r>
          <rPr>
            <sz val="9"/>
            <color indexed="81"/>
            <rFont val="Tahoma"/>
            <family val="2"/>
          </rPr>
          <t xml:space="preserve">
per unit
</t>
        </r>
      </text>
    </comment>
    <comment ref="X289" authorId="0" shapeId="0">
      <text>
        <r>
          <rPr>
            <b/>
            <sz val="9"/>
            <color indexed="81"/>
            <rFont val="Tahoma"/>
            <family val="2"/>
          </rPr>
          <t>Lucas Scheidler:</t>
        </r>
        <r>
          <rPr>
            <sz val="9"/>
            <color indexed="81"/>
            <rFont val="Tahoma"/>
            <family val="2"/>
          </rPr>
          <t xml:space="preserve">
per unit</t>
        </r>
      </text>
    </comment>
    <comment ref="Y294" authorId="0" shapeId="0">
      <text>
        <r>
          <rPr>
            <b/>
            <sz val="9"/>
            <color indexed="81"/>
            <rFont val="Tahoma"/>
            <family val="2"/>
          </rPr>
          <t>Lucas Scheidler:</t>
        </r>
        <r>
          <rPr>
            <sz val="9"/>
            <color indexed="81"/>
            <rFont val="Tahoma"/>
            <family val="2"/>
          </rPr>
          <t xml:space="preserve">
unspecified per unit cost</t>
        </r>
      </text>
    </comment>
    <comment ref="Z294" authorId="0" shapeId="0">
      <text>
        <r>
          <rPr>
            <b/>
            <sz val="9"/>
            <color indexed="81"/>
            <rFont val="Tahoma"/>
            <family val="2"/>
          </rPr>
          <t>Lucas Scheidler:</t>
        </r>
        <r>
          <rPr>
            <sz val="9"/>
            <color indexed="81"/>
            <rFont val="Tahoma"/>
            <family val="2"/>
          </rPr>
          <t xml:space="preserve">
disposal - per unit</t>
        </r>
      </text>
    </comment>
    <comment ref="U296" authorId="0" shapeId="0">
      <text>
        <r>
          <rPr>
            <b/>
            <sz val="9"/>
            <color indexed="81"/>
            <rFont val="Tahoma"/>
            <family val="2"/>
          </rPr>
          <t>Lucas Scheidler:</t>
        </r>
        <r>
          <rPr>
            <sz val="9"/>
            <color indexed="81"/>
            <rFont val="Tahoma"/>
            <family val="2"/>
          </rPr>
          <t xml:space="preserve">
M6 Scope of Work (SOW): Install occupancy sensors on 50 existing electronic ballast lighting fixtures
Description:
The project site presently has 50, 4ft 2-lamps T8 lighting fixtures with electronic ballasts. These fixtures shall be retrofit with new Watt Stopper FS-155 or equivalent occupancy sensor to turn the individual fixtures off when occupants are not present. The recessed lighting fixtures are mounted on dropped ceilings which are at a height of 9 ft from the floor.  The lighting fixtures are distributed across 3 floors of the building.
Tasks: The following tasks needs to be executed for this project
Remove necessary parts to access mounting location
Install Watt Stopper FS-155 Sensor or equivalent on each fixture
Provide and install all electrical connections
Program the sensor to turn on the lights on upon entry of a person into a room, and then turn the lights off from 5 minutes after the space is vacated.
Commission and verify correct operation of all the fixtures.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V296" authorId="0" shapeId="0">
      <text>
        <r>
          <rPr>
            <b/>
            <sz val="9"/>
            <color indexed="81"/>
            <rFont val="Tahoma"/>
            <family val="2"/>
          </rPr>
          <t>Lucas Scheidler:</t>
        </r>
        <r>
          <rPr>
            <sz val="9"/>
            <color indexed="81"/>
            <rFont val="Tahoma"/>
            <family val="2"/>
          </rPr>
          <t xml:space="preserve">
per unit</t>
        </r>
      </text>
    </comment>
    <comment ref="X296" authorId="0" shapeId="0">
      <text>
        <r>
          <rPr>
            <b/>
            <sz val="9"/>
            <color indexed="81"/>
            <rFont val="Tahoma"/>
            <family val="2"/>
          </rPr>
          <t>Lucas Scheidler:</t>
        </r>
        <r>
          <rPr>
            <sz val="9"/>
            <color indexed="81"/>
            <rFont val="Tahoma"/>
            <family val="2"/>
          </rPr>
          <t xml:space="preserve">
per unit</t>
        </r>
      </text>
    </comment>
    <comment ref="Y300" authorId="0" shapeId="0">
      <text>
        <r>
          <rPr>
            <b/>
            <sz val="9"/>
            <color indexed="81"/>
            <rFont val="Tahoma"/>
            <family val="2"/>
          </rPr>
          <t>Lucas Scheidler:</t>
        </r>
        <r>
          <rPr>
            <sz val="9"/>
            <color indexed="81"/>
            <rFont val="Tahoma"/>
            <family val="2"/>
          </rPr>
          <t xml:space="preserve">
per unit - unspecified
</t>
        </r>
      </text>
    </comment>
    <comment ref="Z300" authorId="0" shapeId="0">
      <text>
        <r>
          <rPr>
            <b/>
            <sz val="9"/>
            <color indexed="81"/>
            <rFont val="Tahoma"/>
            <family val="2"/>
          </rPr>
          <t>Lucas Scheidler:</t>
        </r>
        <r>
          <rPr>
            <sz val="9"/>
            <color indexed="81"/>
            <rFont val="Tahoma"/>
            <family val="2"/>
          </rPr>
          <t xml:space="preserve">
disposal - per unit</t>
        </r>
      </text>
    </comment>
  </commentList>
</comments>
</file>

<file path=xl/sharedStrings.xml><?xml version="1.0" encoding="utf-8"?>
<sst xmlns="http://schemas.openxmlformats.org/spreadsheetml/2006/main" count="7616" uniqueCount="1947">
  <si>
    <t xml:space="preserve">Measure </t>
  </si>
  <si>
    <t>Assumed to be $200</t>
  </si>
  <si>
    <t>Notes</t>
  </si>
  <si>
    <t>Gas Storage $400
Condensing gas storage $685
Tankless whole-house unit $605</t>
  </si>
  <si>
    <t>Electric Fryer</t>
  </si>
  <si>
    <t>Gas Fryer</t>
  </si>
  <si>
    <t>Product Type and Class (Btu/hour)</t>
  </si>
  <si>
    <t>Federal Standard  with louvered sides</t>
  </si>
  <si>
    <t>(CEER)</t>
  </si>
  <si>
    <t>Federal Standard  without louvered sides</t>
  </si>
  <si>
    <t>ENERGY STAR with louvered sides (CEER)</t>
  </si>
  <si>
    <t>ENERGY STAR without louvered sides (CEER)</t>
  </si>
  <si>
    <t>Without Reverse Cycle</t>
  </si>
  <si>
    <t>&lt; 8,000</t>
  </si>
  <si>
    <t>8,000 to 10,999</t>
  </si>
  <si>
    <t>11,000 to 13,999</t>
  </si>
  <si>
    <t>14,000 to 19,999</t>
  </si>
  <si>
    <t>20,000 to 24,999</t>
  </si>
  <si>
    <t>25,000 to 27,999</t>
  </si>
  <si>
    <t>&gt;=28,000</t>
  </si>
  <si>
    <t>With Reverse Cycle</t>
  </si>
  <si>
    <t>&lt;14,000</t>
  </si>
  <si>
    <t>NA</t>
  </si>
  <si>
    <t>&gt;= 14,000</t>
  </si>
  <si>
    <t>&lt;20,000</t>
  </si>
  <si>
    <t>&gt;=20,000</t>
  </si>
  <si>
    <t xml:space="preserve">Incremental Cost </t>
  </si>
  <si>
    <t>From Mid Atlantic TRM</t>
  </si>
  <si>
    <t xml:space="preserve">Baseline Efficiency Used Specified in TRM </t>
  </si>
  <si>
    <t>5hp $2,125 
15 hp$3,193 
25hp $4,260 
50hp $6,448 
75hp $8,407 
100 hp  $10,493 
200hp   $17,266</t>
  </si>
  <si>
    <t>Air-Cooled Chiller Incremental Costs ($/Ton) for Washington, D.C. and Delaware</t>
  </si>
  <si>
    <t>Capacity (Tons)</t>
  </si>
  <si>
    <t>Baseline EER</t>
  </si>
  <si>
    <t>Efficient EER</t>
  </si>
  <si>
    <t>Air-Cooled Chiller Incremental Costs ($/Ton) for Maryland</t>
  </si>
  <si>
    <t>N/A</t>
  </si>
  <si>
    <t>Water-Cooled Scroll/Screw Chiller Incremental Costs ($/Ton) for Washington, D.C. and Delaware</t>
  </si>
  <si>
    <t>Baseline kW/ton</t>
  </si>
  <si>
    <t>Efficient kW/ton</t>
  </si>
  <si>
    <t>Water-Cooled Scroll/Screw Chiller Incremental Costs ($/Ton) for Maryland</t>
  </si>
  <si>
    <t>Water-Cooled Centrifugal Chiller Incremental Costs ($/Ton) for Washington, D.C. and Delaware</t>
  </si>
  <si>
    <t>Water-Cooled Centrifugal Chiller Incremental Costs ($/Ton) for Maryland</t>
  </si>
  <si>
    <t>Mid-A TRM Incremental Cost values</t>
  </si>
  <si>
    <t>Total Cost</t>
  </si>
  <si>
    <t>Calculated Baseline Cost</t>
  </si>
  <si>
    <t>Water-Cooled Centrifugal Chiller  Costs ($) for Washington, D.C. and Delaware</t>
  </si>
  <si>
    <t>Water-Cooled Centrifugal Chiller  Costs ($) for Maryland</t>
  </si>
  <si>
    <t>Water-Cooled Screw Chiller  Costs ($) for Maryland</t>
  </si>
  <si>
    <t xml:space="preserve">Calculated Incremental Cost </t>
  </si>
  <si>
    <t>Water-Cooled Scroll  Costs ($)  for Washington, D.C. and Delaware</t>
  </si>
  <si>
    <t>Rated Motor Horsepower (HP)</t>
  </si>
  <si>
    <t xml:space="preserve">Calculated Cost Itron </t>
  </si>
  <si>
    <t>Mid-A TRM  IC</t>
  </si>
  <si>
    <t>Total Installed Costs (Incremental Cost)</t>
  </si>
  <si>
    <t>Fan VFDs 
(&gt;10hp)</t>
  </si>
  <si>
    <t>Fan VFDs 
(&lt;=10hp)</t>
  </si>
  <si>
    <t>See VFD Calculations</t>
  </si>
  <si>
    <t>Residential Heat Pump Water Heaters</t>
  </si>
  <si>
    <t>See Room AC Calculations</t>
  </si>
  <si>
    <t>Central Furnace Efficient Fan Motor</t>
  </si>
  <si>
    <t xml:space="preserve"> Assumed Storage Volume (Gallons)</t>
  </si>
  <si>
    <t>Assumed Input Capacity (kw)</t>
  </si>
  <si>
    <t xml:space="preserve">Cost Calculations </t>
  </si>
  <si>
    <t>Volt 230</t>
  </si>
  <si>
    <t>No</t>
  </si>
  <si>
    <t>yes</t>
  </si>
  <si>
    <t xml:space="preserve">Baseline EF calculated from TRM equation </t>
  </si>
  <si>
    <t>Mid-A TRM Baseline Conditions</t>
  </si>
  <si>
    <t>Size (gallons)</t>
  </si>
  <si>
    <t>Water Heater Type</t>
  </si>
  <si>
    <t xml:space="preserve">Whole Home Gas Tankless </t>
  </si>
  <si>
    <t xml:space="preserve">Efficiency Rating </t>
  </si>
  <si>
    <t>Rated Volume (gallons)or Capacity (MBTU)</t>
  </si>
  <si>
    <t>Cost (min eff)</t>
  </si>
  <si>
    <t>Cost</t>
  </si>
  <si>
    <t>Product Category</t>
  </si>
  <si>
    <t>1.  Refrigerators and Refrigerator-freezers with manual defrost</t>
  </si>
  <si>
    <t>6.79AV + 193.6</t>
  </si>
  <si>
    <t xml:space="preserve">6.11 * AV + 174.2 </t>
  </si>
  <si>
    <t>2.  Refrigerator-Freezer--partial automatic defrost</t>
  </si>
  <si>
    <t>7.99AV + 225.0</t>
  </si>
  <si>
    <t>7.19 * AV + 202.5</t>
  </si>
  <si>
    <t>3.  Refrigerator-Freezers--automatic defrost with top-mounted freezer without through-the-door ice service and all-refrigerators--automatic defrost</t>
  </si>
  <si>
    <t>8.07AV + 233.7</t>
  </si>
  <si>
    <t>7.26 * AV + 210.3</t>
  </si>
  <si>
    <t>4.  Refrigerator-Freezers--automatic defrost with side-mounted freezer without through-the-door ice service</t>
  </si>
  <si>
    <t>8.51AV + 297.8</t>
  </si>
  <si>
    <t>7.66 * AV + 268.0</t>
  </si>
  <si>
    <t>5.  Refrigerator-Freezers--automatic defrost with bottom-mounted freezer without through-the-door ice service</t>
  </si>
  <si>
    <t>8.85AV + 317.0</t>
  </si>
  <si>
    <t>7.97 * AV + 285.3</t>
  </si>
  <si>
    <t>6.  Refrigerator-Freezers--automatic defrost with top-mounted freezer with through-the-door ice service</t>
  </si>
  <si>
    <t>8.40AV + 385.4</t>
  </si>
  <si>
    <t>7.56 * AV + 355.3</t>
  </si>
  <si>
    <t>7.  Refrigerator-Freezers--automatic defrost with side-mounted freezer with through-the-door ice service</t>
  </si>
  <si>
    <t>8.54AV + 432.8</t>
  </si>
  <si>
    <t>7.69 * AV + 397.9</t>
  </si>
  <si>
    <t>AV (volume ft3) = 30</t>
  </si>
  <si>
    <t>AV (volume ft3) = 20</t>
  </si>
  <si>
    <t>Integrated Modified Energy Factor (IMEF)</t>
  </si>
  <si>
    <t>Front Loading</t>
  </si>
  <si>
    <t>Top Loading</t>
  </si>
  <si>
    <t>n/a</t>
  </si>
  <si>
    <t xml:space="preserve">Federal Baseline from TRM </t>
  </si>
  <si>
    <t>Baseline Cost</t>
  </si>
  <si>
    <t>Front Loading (IMEF)</t>
  </si>
  <si>
    <t>Top Loading (IMEF)</t>
  </si>
  <si>
    <t>Incremental Cost</t>
  </si>
  <si>
    <t>Occupancy Sensor</t>
  </si>
  <si>
    <t>See Occupancy Sensor</t>
  </si>
  <si>
    <t xml:space="preserve">Incremental Cost is the cost is the of the measure (absence of measure). </t>
  </si>
  <si>
    <t>Low Flow Showerheads</t>
  </si>
  <si>
    <t>Calculated Incremental Cost (2017 $)</t>
  </si>
  <si>
    <t>Calculated Baseline Cost (2017 $)</t>
  </si>
  <si>
    <t>Cost (min eff) (2017 $)</t>
  </si>
  <si>
    <t>Cost (2017 $)</t>
  </si>
  <si>
    <t>Time (Years)</t>
  </si>
  <si>
    <t>Calculated Cost Itron (2017 $)</t>
  </si>
  <si>
    <t>Total Installed Costs (Incremental Cost) (2017 $)</t>
  </si>
  <si>
    <t>Mid-A TRM  Incremental Cost            (2017 $)</t>
  </si>
  <si>
    <t>Mid-A TRM  Incremental Cost</t>
  </si>
  <si>
    <t>Assumed Bypass - yes, NEMA enclosure type =3</t>
  </si>
  <si>
    <t>Assumed Bypass - yes, NEMA enclosure type = 12</t>
  </si>
  <si>
    <t>Assumed Bypass - yes, NEMA enclosure type = 1</t>
  </si>
  <si>
    <t>Assumed Bypass - No, NEMA enclosure type =3</t>
  </si>
  <si>
    <t>Assumed Bypass - No, NEMA enclosure type = 12</t>
  </si>
  <si>
    <t>Assumed Bypass - No,, NEMA enclosure type = 1</t>
  </si>
  <si>
    <t>Assumed Bypass - yes, NEMA enclosure type =3, 500 volt = no</t>
  </si>
  <si>
    <t>Assumed Bypass - yes, NEMA enclosure type = 12, 500 volt = no</t>
  </si>
  <si>
    <t>Assumed Bypass - yes, NEMA enclosure type = 1, 500 volt = no</t>
  </si>
  <si>
    <t xml:space="preserve">Assumed Bypass - No, NEMA enclosure type =3, 500 volt = no </t>
  </si>
  <si>
    <t xml:space="preserve">Assumed Bypass - No, NEMA enclosure type = 12,  500 volt = no </t>
  </si>
  <si>
    <t xml:space="preserve">Assumed Bypass - No,, NEMA enclosure type = 1, 500 volt = no </t>
  </si>
  <si>
    <t>Assumed Bypass - yes, NEMA enclosure type =3, 500 volt = yes</t>
  </si>
  <si>
    <t>Assumed Bypass - yes, NEMA enclosure type = 12, 500 volt = yes</t>
  </si>
  <si>
    <t>Assumed Bypass - yes, NEMA enclosure type = 1, 500 volt = yes</t>
  </si>
  <si>
    <t xml:space="preserve">Assumed Bypass - No, NEMA enclosure type =3, 500 volt = yes </t>
  </si>
  <si>
    <t>Assumed Bypass - No, NEMA enclosure type = 12,  500 volt = yes</t>
  </si>
  <si>
    <t>Assumed Bypass - No,, NEMA enclosure type = 1, 500 volt = yes</t>
  </si>
  <si>
    <t>Note: Itron Calculations designed for 1- 100 HP. Itron Model looses robustness after 200 HP</t>
  </si>
  <si>
    <t>Efficient Conditions (TRM)</t>
  </si>
  <si>
    <t>Calculated Costs (2017 $)</t>
  </si>
  <si>
    <t xml:space="preserve">Baseline Cost </t>
  </si>
  <si>
    <t>2017 Adjustment factor</t>
  </si>
  <si>
    <t>Evaporator fan control on walk-in coolers/freezers (&lt;1 hp)</t>
  </si>
  <si>
    <t>Evaporator fan control on walk-in coolers/freezers (&gt;1 hp)</t>
  </si>
  <si>
    <t>Baseline, Measure, and Incremental Cost Calculations based on Itron MCS</t>
  </si>
  <si>
    <t xml:space="preserve">Cost </t>
  </si>
  <si>
    <t>Example: 0.5 HP Permanent Split Capacitor Motor</t>
  </si>
  <si>
    <t>Example: 0.5 HP Brushless Fan Motor</t>
  </si>
  <si>
    <t>IC</t>
  </si>
  <si>
    <t>IC (2017 $)</t>
  </si>
  <si>
    <t>Water Cooled Screw Chiller</t>
  </si>
  <si>
    <t>Water-Cooled Scroll  Costs ($) for Maryland</t>
  </si>
  <si>
    <t>Water Cooled Scroll Chiller</t>
  </si>
  <si>
    <t>Incremental Costs</t>
  </si>
  <si>
    <t>Water Cooled Centrifugal Chiller* Assuming no centrifugal VSD</t>
  </si>
  <si>
    <t>Electric Chillers - Water Cooled</t>
  </si>
  <si>
    <t>Electric Chillers - Air Cooled</t>
  </si>
  <si>
    <t>Air-Cooled Chiller  for Washington, D.C. and Delaware</t>
  </si>
  <si>
    <t>Air-Cooled Chiller  for Maryland</t>
  </si>
  <si>
    <t>Air Cooled Screw Chiller</t>
  </si>
  <si>
    <t>Air Cooled Scroll Chiller</t>
  </si>
  <si>
    <t>Labor Cost (same for all Res HVAC fan Motors)</t>
  </si>
  <si>
    <t>Labor Costs</t>
  </si>
  <si>
    <t>HP</t>
  </si>
  <si>
    <t>3 to 10 HP</t>
  </si>
  <si>
    <t>Labor Costs (2017 $)</t>
  </si>
  <si>
    <t>WH Type</t>
  </si>
  <si>
    <t>Gal</t>
  </si>
  <si>
    <t>Tankless Gas</t>
  </si>
  <si>
    <t>Condition</t>
  </si>
  <si>
    <t xml:space="preserve">Baseline Labor </t>
  </si>
  <si>
    <t>Heat pump water heater</t>
  </si>
  <si>
    <t>Measure</t>
  </si>
  <si>
    <t>Baseline</t>
  </si>
  <si>
    <t>Commercial/Food Service Convection Ovens - Electric - Full Size</t>
  </si>
  <si>
    <t>Commercial/Food Service Convection Ovens - Gas - Full size</t>
  </si>
  <si>
    <t>$54 for units less than 6,000 Btu/hr., and $39 for units greater or equal to 6,000 Btu/hr.</t>
  </si>
  <si>
    <t>See Efficient Fan Motor</t>
  </si>
  <si>
    <t>See Small Gas WH Calculations</t>
  </si>
  <si>
    <t>See Refrigerator Calculations</t>
  </si>
  <si>
    <t xml:space="preserve"> Efficiency (SEER)</t>
  </si>
  <si>
    <t>Incremental Cost per Ton of Capacity</t>
  </si>
  <si>
    <t xml:space="preserve">Time of Sale </t>
  </si>
  <si>
    <t>Early Replacement</t>
  </si>
  <si>
    <t>Efficiency (SEER)</t>
  </si>
  <si>
    <t>Full Retrofit Cost (including labor) per Ton of Capacity ($/ton)</t>
  </si>
  <si>
    <t>The capital cost for this measure is the actual cost of removing the existing unit and installing the new one.</t>
  </si>
  <si>
    <t>Size Category</t>
  </si>
  <si>
    <t>Efficient Condition (CEE Tier 1)</t>
  </si>
  <si>
    <t>Efficient Condition (CEE Tier 2)</t>
  </si>
  <si>
    <t>&gt;=65,000 Btu/h and &lt;135,000</t>
  </si>
  <si>
    <t>$62.96/ton</t>
  </si>
  <si>
    <t>$125.92/ton</t>
  </si>
  <si>
    <t>&gt;=135,000 Btu/h and &lt;240,000 Btu/h</t>
  </si>
  <si>
    <t>&gt;=240,000 Btu/h and &lt;760,000 Btu/h</t>
  </si>
  <si>
    <t>$18.78/ton</t>
  </si>
  <si>
    <t>$37.56/ton</t>
  </si>
  <si>
    <t>&lt;65,000 Btu/h</t>
  </si>
  <si>
    <t>$443/unit</t>
  </si>
  <si>
    <t>$886/ton</t>
  </si>
  <si>
    <t xml:space="preserve">Air-Cooled Unitary Air Conditioners - Time of Sale and New Construction </t>
  </si>
  <si>
    <t xml:space="preserve">Air-Source Unitary Heat Pumps - Time of Sale and New Construction </t>
  </si>
  <si>
    <t>SEER</t>
  </si>
  <si>
    <t xml:space="preserve">SEER </t>
  </si>
  <si>
    <t>Tons</t>
  </si>
  <si>
    <t>Baseline Cost (2017 $)</t>
  </si>
  <si>
    <t>Baseline Cost/Ton</t>
  </si>
  <si>
    <t>Baseline Cost/Ton (2017 $)</t>
  </si>
  <si>
    <t xml:space="preserve">Incremental Cost - Time of Sale </t>
  </si>
  <si>
    <t>Size Category (Cooling Capacity)</t>
  </si>
  <si>
    <t>Subcategory</t>
  </si>
  <si>
    <t>Baseline Condition (IECC 2015)</t>
  </si>
  <si>
    <t>13.0 SEER</t>
  </si>
  <si>
    <t>14.0 SEER</t>
  </si>
  <si>
    <t>≥65,000 Btu/h and &lt;135,000 Btu/h</t>
  </si>
  <si>
    <t>≥135,000 Btu/h and &lt;240,000 Btu/h</t>
  </si>
  <si>
    <t>≥240,000 Btu/h and &lt;760,000 Btu/h</t>
  </si>
  <si>
    <t>≥760,000 Btu/h</t>
  </si>
  <si>
    <t>Single- Packaged</t>
  </si>
  <si>
    <t xml:space="preserve">Baseline Cost (2017 $) </t>
  </si>
  <si>
    <t>Incremental Cost ($/Ton)</t>
  </si>
  <si>
    <t>Incremental Cost ($/Ton) (2017 $)</t>
  </si>
  <si>
    <t>capacity used for calculation (BTUH)</t>
  </si>
  <si>
    <t>12.2 IEER</t>
  </si>
  <si>
    <t>Commercial Air Conditioners -  Air Cooled - Split and single package</t>
  </si>
  <si>
    <t>12.0 IEER</t>
  </si>
  <si>
    <t xml:space="preserve">Labor Costs </t>
  </si>
  <si>
    <t>Efficiency kW/ton</t>
  </si>
  <si>
    <t>Gas Storage</t>
  </si>
  <si>
    <t>Commercial Air Conditioners - Water Cooled - Split and single package</t>
  </si>
  <si>
    <t>Commercial Air Conditioners - Air Evaporatively Cooled - Split and single package</t>
  </si>
  <si>
    <t>Assumed Compartment Capacity</t>
  </si>
  <si>
    <t xml:space="preserve">ENERGY STAR, CEE Tier 1 $48
ENERGY STAR Most Efficient, CEE TIER 2 $269
CEE TIER 3 $297
</t>
  </si>
  <si>
    <t xml:space="preserve">Calculated Cost (Labor Not Included) </t>
  </si>
  <si>
    <t xml:space="preserve">Calculated Cost  (2017 $) (Labor Not Included) </t>
  </si>
  <si>
    <t xml:space="preserve">Labor Costs for Chillers </t>
  </si>
  <si>
    <t xml:space="preserve">Size </t>
  </si>
  <si>
    <t xml:space="preserve">Mount </t>
  </si>
  <si>
    <t>Labor Cost</t>
  </si>
  <si>
    <t>Labor Cost (2017$)</t>
  </si>
  <si>
    <t>roof</t>
  </si>
  <si>
    <t>Cooling Type</t>
  </si>
  <si>
    <t>basement</t>
  </si>
  <si>
    <t xml:space="preserve">ground </t>
  </si>
  <si>
    <t>Air Cooled</t>
  </si>
  <si>
    <t>Water Cooled</t>
  </si>
  <si>
    <t xml:space="preserve">Costs presented in the calculations do not contain labor costs added to them.  Labor Costs are the same between all efficiencies within a given mount and capacity. The labor costs for these measures have been provided in the Calculations workbook. If Incremental costs need to be calculated for changing mount type apply the correct costs accordingly. </t>
  </si>
  <si>
    <t xml:space="preserve">Electric Chillers - Water Cooled  - Early Replacement </t>
  </si>
  <si>
    <t xml:space="preserve">Electric Chillers - Air Cooled  - Early Replacement </t>
  </si>
  <si>
    <t>"The incremental cost for this measure should be the actual cost of the replacement unit and any cost of installation labor."</t>
  </si>
  <si>
    <t>"The incremental capital cost for this measure is $1,000, for a HPWH with an energy factor of 2.0"</t>
  </si>
  <si>
    <t>"The incremental cost for this measure is assumed to be $26 for an ENERGY STAR unit  and $140 for a CEE Tier 2 unit"</t>
  </si>
  <si>
    <t>"The incremental cost for this measure is assumed to be $115 per control for wall occupancy sensors, $200 per control for fixture-mounted and remote-mounted occupancy sensors."</t>
  </si>
  <si>
    <t>As a retrofit measure, the incremental cost will be the actual cost of installing the new showerhead. As a time of sale measure, the incremental cost is assumed to be $6"</t>
  </si>
  <si>
    <t>"The incremental cost is assumed to be $0  for electric commercial convection ovens and -$1,778  for gas ovens."</t>
  </si>
  <si>
    <t>"The incremental cost for this measure should be the actual labor and material cost to seal the ducts."</t>
  </si>
  <si>
    <t>"$210 for standard sized equipment and $0 for large vat equipment"</t>
  </si>
  <si>
    <t>"For gas fryers, the incremental cost is assumed to be $2,441"</t>
  </si>
  <si>
    <t>Inflation</t>
  </si>
  <si>
    <t>RUL</t>
  </si>
  <si>
    <t>Water-Cooled  Screw Costs ($)  for Washington, D.C. and Delaware</t>
  </si>
  <si>
    <t>type</t>
  </si>
  <si>
    <t xml:space="preserve">split system </t>
  </si>
  <si>
    <t xml:space="preserve">packaged system </t>
  </si>
  <si>
    <t>"If the measure is an early replacement, the full installed cost of the efficient unit should be used as the incremental cost and determined on a site-specific basis."</t>
  </si>
  <si>
    <t>mount</t>
  </si>
  <si>
    <t>Ground</t>
  </si>
  <si>
    <t>Roof</t>
  </si>
  <si>
    <t>Packaged &lt;65000 BTUH</t>
  </si>
  <si>
    <t>Packaged 65,000 to 240,000 BTUH</t>
  </si>
  <si>
    <t xml:space="preserve">Split system </t>
  </si>
  <si>
    <t>For Mastic seal (Itron MCS does not apply to Aeroseal</t>
  </si>
  <si>
    <t>"The initial full measure cost for an Energy Star refrigerator is assumed to be $748 and Tier 2 is $862. The avoided replacement cost (after 4 years) of a baseline replacement refrigerator is $722"</t>
  </si>
  <si>
    <t>The incremental cost for this measure is $200</t>
  </si>
  <si>
    <t>Federal Baseline - 2018 Standards</t>
  </si>
  <si>
    <t>12.7 IEER</t>
  </si>
  <si>
    <t xml:space="preserve">IEER used in place of EER </t>
  </si>
  <si>
    <t>11.4 IEER</t>
  </si>
  <si>
    <t>10.4 IEER</t>
  </si>
  <si>
    <t>11.4IEER</t>
  </si>
  <si>
    <t>Cooling Capacity (But)</t>
  </si>
  <si>
    <t>Itron MCS only has Labor costs for 100, 200, and 300 Capacity Chillers. There for the labor costs were rounded to the closest Capacity size for labor. Early Replacement Incremental Costs assume installation and replacement for ground mounted chillers. Roof and Basement labor costs are provided if they are in the Itron MCS.</t>
  </si>
  <si>
    <t>Clothes Washer - RES - Time of Sale</t>
  </si>
  <si>
    <t xml:space="preserve">ENERGY STAR, CEE Tier 1 $879
ENERGY STAR Most Efficient, CEE TIER 2 $1100
CEE TIER 3 $1128
</t>
  </si>
  <si>
    <t>"The existing unit efficiency is assumed to be 1.0 IMEF for front loaders and 0.84 IMEF for top loaders. This is based on the Federal Standard for clothes washers from 2004 - 2015" with a RUL of 5 years</t>
  </si>
  <si>
    <t>Clothes Washer - Com</t>
  </si>
  <si>
    <t xml:space="preserve">Commercial AC Labor </t>
  </si>
  <si>
    <t xml:space="preserve">Efficient Condition Cost </t>
  </si>
  <si>
    <t>Source</t>
  </si>
  <si>
    <t>Note - Mid-A TRM specifies difference between With a and without reverse cycle.  - Mid-A TRM uses CEER efficiency requirements, Itron model uses EER. Cost Calculations uses CEER requirements in place of EER. No labor cost associated with Incremental Cost, Time of Sale Calculated</t>
  </si>
  <si>
    <t>Mid-A TRM Baseline Definition is "A standard low-efficiency permanent split capacitor (PSC) fan motor" and Efficient Definition is "A high efficiency brushless permanent magnet fan motor (BPM or ECM)". No specific specs were given are given. Therefor Incremental Cost was taken directly from the Itron MCS, which uses a Brushless fan motor as an example. Labor cost is the same for Res HVAC fam motors + Labor Costs</t>
  </si>
  <si>
    <t xml:space="preserve">Mid-A TRM uses EER for specification Itron equation uses kW/ton . EER to kW/ton conversions used for analysis.  Costs presented in the calculations do not contain labor costs added to them.  Labor Costs are the same between all efficiencies within a given mount and capacity. The labor costs for these measures have been provided in the Calculations workbook. If Incremental costs need to be calculated for changing mount type apply the correct costs accordingly. </t>
  </si>
  <si>
    <t xml:space="preserve">Mid-A TRM - Baseline splits two between 20-55 gal and 55 to 100 gal </t>
  </si>
  <si>
    <t>Incremental costs only calculated for an EF = 2.0 for direct comparison with Mid-A TRM Incremental cost. Itron MCS baseline was Small Electric Storage Water Heater 40 Gal;  EF = 0.92; Recover Eff = 0.98:   $421. Mid-A TRM states that to assume 40 gal if size not available</t>
  </si>
  <si>
    <t>Used 12000 btuh per 1 ton of refrigeration to convert  Mid-A TRM tons to MCS btuh.  Early Retirement incremental costs is the incremental cost of the measure plus the labor for disposal and removal</t>
  </si>
  <si>
    <t>See Mid-A TRM Commercial Unitary HVAC incremental Costs</t>
  </si>
  <si>
    <t xml:space="preserve">No specific Efficient Condition is given in the Mid- A Mid-A TRM. System with an efficiency that is higher than the baseline is considered to be an efficient condition. *Important* - calculation for split systems uses the ITRON MCS Split System equations. Capacity is a continuous variable for a BTUH range of 17400-59000 BTUH for HP and 17000-58000 DX systems. This document contains cost estimates that uses the ITROM MSC equations to estimate costs of measure with BTUH above the ranges specified. The results for split systems may not be accurate as a result. </t>
  </si>
  <si>
    <t xml:space="preserve">Itron calculations calls for MEF. IMEF used in place due to lack of reliable conversion between IMEF and MEF. No Labor Costs Included in Itron MCS. Contains scenarios with Mid-A TRM baseline condition (2015 Federal standards) and 2018 or after Federal Standards as a the baseline condition. No Labor Costs associated with the </t>
  </si>
  <si>
    <t>Mid-A TRM assumes baseline of 2.5GPM or an actual measurement for direct install. No incremental cost available for time of sale purchase in Itron MCS. From Itron MCS (avg materials = 18.50, avg Labor = 15.67)</t>
  </si>
  <si>
    <t>Mid - A TRM</t>
  </si>
  <si>
    <t>IL TRM</t>
  </si>
  <si>
    <t xml:space="preserve">Early Replacement </t>
  </si>
  <si>
    <t>See Residential Air-source Incremental Costs</t>
  </si>
  <si>
    <t xml:space="preserve">Clothes Washer - RES - Early Replacement </t>
  </si>
  <si>
    <t>See Elec Chillers TRM Incremental Cost</t>
  </si>
  <si>
    <t>Average Inflation</t>
  </si>
  <si>
    <t>Time Period</t>
  </si>
  <si>
    <t>Note:</t>
  </si>
  <si>
    <t>None</t>
  </si>
  <si>
    <t>Energy Star</t>
  </si>
  <si>
    <t>Itron - splits measures VFD between &gt;10hp and &lt;=10hp. IL-TRM only specifies deemed IMC values for up to 20 HP</t>
  </si>
  <si>
    <t>Measure Source</t>
  </si>
  <si>
    <t>13 SEER</t>
  </si>
  <si>
    <t xml:space="preserve">Total Installed Costs (Incremental Cost) </t>
  </si>
  <si>
    <t>"Incremental costs for water- and evaporatively-cooled ACs, PTACs, and PTHPs will be addressed in subsequent versions of the TRM. In the interim, incremental costs for these equipment types should be determined on a site-specific basis."</t>
  </si>
  <si>
    <t xml:space="preserve">The incremental capital cost is $532 for multispeed controls . Value includes labor costs.
The actual measure installation cost for ON/OFF controls should be used (including materials and labor) .
</t>
  </si>
  <si>
    <t>MidA TRM Source:   Sachs and Smith, April 2003; Saving Energy with Efficient Furnace Air Handlers: A Status Update and Program Recommendations.</t>
  </si>
  <si>
    <t>MidA TRM Source:  Navigant. 2013. Incremental Cost Study Phase Two Final Report. Burlington, MA.</t>
  </si>
  <si>
    <t>MidA TRM source: Navigant. 2013. Incremental Cost Study Phase Two Final Report. Burlington, MA. Table values adapted from published values to align with baseline code requirements (“Path A”) by interpolating or extrapolating from nearest pair of published efficiency values. “N/A” indicates either an efficiency value below baseline requirements or a gap in the published data from the source document.</t>
  </si>
  <si>
    <t>MidA TRM source: Source for cost info; DOE, 2010 Residential Heating Products Final Rule Technical Support Document, Table 8.2.14 (http://www1.eere.energy.gov/</t>
  </si>
  <si>
    <t xml:space="preserve">DOE, 2010 Residential Heating Products Final Rule Technical Support Document, Table 8.2.14 http://www1.eere.energy.gov/buildings/appliance_standards/residential/pdfs/htgp_finalrule_ch8.pdf </t>
  </si>
  <si>
    <t xml:space="preserve">Full ENERGY STAR and baseline costs based on “2010-2012 WA017 Ex Ante Measure Cost Study Draft Report”, Itron, February 28, 2014. See “Refrigerator Default Calcs.xlsx”. Full CEE Tier 2 cost is based upon incremental cost estimate derived from “TECHNICAL REPORT: Analysis of Amended Energy Conservation Standards for Residential Refrigerator-Freezers”.  http://www1.eere.energy.gov/buildings/appliance_standards/pdfs/refrigerator_report_1.pdf </t>
  </si>
  <si>
    <t>Based on Department of Energy, “TECHNICAL REPORT: Analysis of Amended Energy Conservation Standards for Residential Refrigerator-Freezers”, October 2005.</t>
  </si>
  <si>
    <t>Based upon average cost per ton from “2010-2012 WA017 Ex Ante Measure Cost Study Draft Report”, Itron, February 28, 2014. Note SEER 17 and 18 are extrapolated from other data points.</t>
  </si>
  <si>
    <t>MidA TRM Source:   Northeast Energy Efficiency Partnerships Incremental Cost Study Report, Navigant, 2011. Sensors costs assume the simple average of cost for those sensors using only passive infrared technology and those using both passive infrared and ultrasonic technology.</t>
  </si>
  <si>
    <t xml:space="preserve">MidA TRM Source: U.S. EPA. 2016. Savings Calculator for ENERGY STAR Qualified Appliances. Accessed March 7, 2016. </t>
  </si>
  <si>
    <t>Mid A TRM "Based on weighted average of top loading and front loading units (based on available product from the CEC Appliance database) and cost data from Life-Cycle Cost and Payback Period Excel-based analytical tool. See ‘2015 Mid Atlantic Early Replacement Clothes Washer Analysis.xls’ for details.."</t>
  </si>
  <si>
    <t>Source "Navigant Consulting, Ontario Energy Board,  “Measures and Assumptions for Demand Side Management (DSM) Planning”, April 2009."</t>
  </si>
  <si>
    <t xml:space="preserve"> Electric  MidA Source: US EPA. February 2015. Savings Calculator for ENERGY STAR Certified Commercial Kitchen Equipment. </t>
  </si>
  <si>
    <t>Gas Source:  Navigant. 2015. Incremental Cost Study Phase Four, Draft Report. Burlington, MA.</t>
  </si>
  <si>
    <t xml:space="preserve">Sources Navigant. 2015. Incremental Cost Study Phase Four, Final Report. Burlington, MA.  Navigant’s research revealed that ON/OFF controls are typically only found in refrigeration management systems. These systems have capabilities beyond evaporator fan control, including controls for the compressor cycle, defrost cycle, door heaters, outdoor air economizer, and more. The cost of these systems is highly variable depending on capability and falls in the approximate range of $500 - $1,700.  </t>
  </si>
  <si>
    <t xml:space="preserve">Electric Fryer source midA TRM: US EPA. February 2015. Savings Calculator for ENERGY STAR Certified Commercial Kitchen Equipment. </t>
  </si>
  <si>
    <t xml:space="preserve"> Natural Gas: Navigant. 2015. Incremental Cost Study Phase Four Final Report. Burlington, MA.</t>
  </si>
  <si>
    <t xml:space="preserve">Tier 2 efficiency is 85% of the energy consumption of the baseline as stated in the Mid-A  TRM. No Labor Costs for Refrigerator Included. </t>
  </si>
  <si>
    <t>Navigant. May 2014. Incremental Cost Study Phase Three Final Report. Prepared for NEEP Regional Evaluation, Measurement &amp; Verification Forum. In all cases, incremental costs are presented relative to the baseline efficiencies presented in the Baseline Efficiencies by System Type and Unit Capacity table for the relevant size categories. 
AC
CEE efficiency tiers as presented in Consortium for Energy Efficiency. 2016. CEE Commercial Unitary Air-Conditioning and Heat Pumps Specification, Effective January 12, 2016.
HP
  Ibid. In the absence of better data, incremental costs for air-source heat pumps &gt;=65,000 Btu/h are assumed equal to the air-cooled unitary AC equipment for the corresponding size categories. Therefore, the CEE tiers presented here reflect cooling mode requirements for AC equipment.
Note:" Incremental costs for water- and Evaporatively-cooled ACs, PTACs, and PTHPs will be addressed in subsequent versions of the TRM. In the interim, incremental costs for these equipment types should be determined on a site-specific basis."</t>
  </si>
  <si>
    <t>Refrigerator - Res - ER/Retrofit</t>
  </si>
  <si>
    <t>Air Source Heat Pump - Residential - Split System</t>
  </si>
  <si>
    <t>Ductless MiniSplit Heat Pumps</t>
  </si>
  <si>
    <t>The full installed cost of the ductless mini-split system is shown below[1].</t>
  </si>
  <si>
    <t>The full installed cost of the baseline equipment is shown below.</t>
  </si>
  <si>
    <t>[1] Navigant, Inc. Incremental Cost Study Phase 2. January 16, 2013. Table 16.</t>
  </si>
  <si>
    <t> Capacity (kBtu/h)</t>
  </si>
  <si>
    <t>Efficiency</t>
  </si>
  <si>
    <t>Unit</t>
  </si>
  <si>
    <r>
      <t>[2]</t>
    </r>
    <r>
      <rPr>
        <sz val="10"/>
        <color theme="1"/>
        <rFont val="Trebuchet MS"/>
        <family val="2"/>
      </rPr>
      <t xml:space="preserve"> Energy Star Calculator. http://www.energystar.gov/ia/business/bulk_purchasing/bpsavings_calc/CalculatorConsumerRoomAC.xls)</t>
    </r>
  </si>
  <si>
    <t>18 SEER</t>
  </si>
  <si>
    <t>21 SEER</t>
  </si>
  <si>
    <t>26 SEER</t>
  </si>
  <si>
    <t>Window AC[2]</t>
  </si>
  <si>
    <t xml:space="preserve">$170/unit </t>
  </si>
  <si>
    <r>
      <t>[3]</t>
    </r>
    <r>
      <rPr>
        <sz val="10"/>
        <color theme="1"/>
        <rFont val="Trebuchet MS"/>
        <family val="2"/>
      </rPr>
      <t xml:space="preserve"> Energy Star Calculator. 46% added to value to reflect labor, based on ratio of equipment to labor cost for measure EffFurn-cond-90AFUE in DEER database. http://www.energystar.gov/buildings/sites/default/uploads/files/Furnace_Calculator.xls?8178-e52c</t>
    </r>
  </si>
  <si>
    <t>Gas furnace[3]</t>
  </si>
  <si>
    <t xml:space="preserve"> $1,606/unit </t>
  </si>
  <si>
    <t>[4] If existing case is electric resistance heat, assume project replaces existing functional baseboard.</t>
  </si>
  <si>
    <t>Electric Baseboard[4]</t>
  </si>
  <si>
    <t>Incremental Cost - Baseline Widow AC</t>
  </si>
  <si>
    <t>Incremental Cost - Baseline Gas Furnace</t>
  </si>
  <si>
    <t>Incremental Cost- Baseline Electric Baseboard</t>
  </si>
  <si>
    <t>TOS</t>
  </si>
  <si>
    <t>Unit Size</t>
  </si>
  <si>
    <t>1-Ton</t>
  </si>
  <si>
    <t>1.5-Ton</t>
  </si>
  <si>
    <t>2-Ton</t>
  </si>
  <si>
    <t>2.5-Ton</t>
  </si>
  <si>
    <t>3-Ton</t>
  </si>
  <si>
    <t>Comm Ductless Mini Split Heat Pump</t>
  </si>
  <si>
    <t xml:space="preserve">See Comm Mid A TRM Mini Ductless Heat Pump </t>
  </si>
  <si>
    <t>15 to 50HP</t>
  </si>
  <si>
    <t>&gt;50HP</t>
  </si>
  <si>
    <t>MidA TRM RAC source: "Elko, Alex et al. Evaluation of Energy-Efficiency Standards for Room Air Conditioners in US” Sept 2012. Use average of Efficiency levels 4 and 5 to approximate current energy star standards."</t>
  </si>
  <si>
    <t xml:space="preserve">EmPOWER Incentive Categories (as of Feb 2017) </t>
  </si>
  <si>
    <t>RAC rebates are no longer offered by EmPOWER.</t>
  </si>
  <si>
    <t xml:space="preserve">≥ 16 SEER and ≥ 13 EER and ≥ 9.0 HSPF ($675); ≥ 18 SEER and ≥ 13 EER and ≥ 9.5 HSPF ($1,125) </t>
  </si>
  <si>
    <t xml:space="preserve">Central Air Conditioner - Residential </t>
  </si>
  <si>
    <t xml:space="preserve">≥ 16 SEER and ≥ 13 EER ($450); ≥ 18 SEER and ≥ 13 EER ($900) </t>
  </si>
  <si>
    <t>≥ 14.5 SEER and ≥ 12 EER and ≥ 8.2 HSPF ($180); ≥ 18 SEER and ≥ 12.5 EER and ≥ 9.0 HSPF ($360); Multizone ≥ 15.5 SEER and ≥ 12.5 EER and ≥ 8.6 HSPF ($540)</t>
  </si>
  <si>
    <t xml:space="preserve"> Incentives for water cooled chillers are based on kW/ton with additional incentives based on 0.01 kW incremental reductions.  See http://www.bgesmartenergy.com/sites/default/files/public/BGE_IC_Tech_Sheet_HVAC.pdf.  </t>
  </si>
  <si>
    <t>Minimum eligibility requirement is 10.4 EER for air cooled, with additional incentive based on 0.1 EER incremental increases.  See http://www.bgesmartenergy.com/sites/default/files/public/BGE_IC_Tech_Sheet_HVAC.pdf.</t>
  </si>
  <si>
    <t>Mid-A TRM Baselines</t>
  </si>
  <si>
    <t>No specific incentives offered by EmPOWER, but to achieve SEER 18 could require retrofit of fan motors.  TRM defines measures as: "A high efficiency brushless permanent magnet fan motor (BPM or ECM)."</t>
  </si>
  <si>
    <t>Minimum eligibility requirement is 10.4 EER for air cooled (10.3 VFD air cooled), with additional incentive based on 0.1 EER incremental increases.  See http://www.bgesmartenergy.com/sites/default/files/public/BGE_IC_Tech_Sheet_HVAC.pdf.</t>
  </si>
  <si>
    <t>Geothermal Heat Pump</t>
  </si>
  <si>
    <t xml:space="preserve">18 EER and 4.7 COP ($250/ton); 20 EER and 5.0 COP ($300/ton) </t>
  </si>
  <si>
    <t xml:space="preserve">New Construction and Time of Sale: The actual installed cost of the Ground Source Heat Pump, including the ground loop and desuperheater if installed,  should be used (default of $3957 per ton ), minus the assumed installed cost of the baseline equipment ($2355 per ton for ASHP ). </t>
  </si>
  <si>
    <t>Measure cost based on data provided to VEIC in ‘Results of Home geothermal and air source heat pump rebate incentives documented by Illinois electric cooperatives’.  Baseline ASHP cost is based upon average cost per ton for Equipment and Labor for SEER 14 ASHP from Itron Measure Cost Study Results Matrix Volume 1 (part of “2010-2012 WA017 Ex Ante Measure Cost Study Draft Report”, Itron, February 28, 2014).</t>
  </si>
  <si>
    <t xml:space="preserve">Federal standard.  </t>
  </si>
  <si>
    <t>Room Air Conditioner - Time of Sale</t>
  </si>
  <si>
    <t>Room Air Conditioner - Early Replacement</t>
  </si>
  <si>
    <t>Incremental cost is full cost of new unit minus the NPV of the deferred replacement cost = (Actual Cost of ENERGY STAR unit - $40 ) * 69% .</t>
  </si>
  <si>
    <t xml:space="preserve">2HP ($500), 3HP ($600), 4HP ($700), 5HP ($800), 7.5HP ($900), 10HP ($1,100), 15HP ($1,350), 20HP ($1,500), 25HP ($1,600), 30HP ($1,800), 40HP ($2,000), 50HP ($2,500), 60HP ($3,000), 75HP ($3,750), 100HP ($5,000), &gt;100HP-200HP ($50 per HP). </t>
  </si>
  <si>
    <t>The Mid A references the Navigant NEEP phase 2 study for the Commercial Mini Ductless HP Costs, However the phase two study they are pretty clear that the measures are residential ductless mini split HP.</t>
  </si>
  <si>
    <t>Retrofit.</t>
  </si>
  <si>
    <t>Condensing Natural Gas Furnace</t>
  </si>
  <si>
    <t>AFUE 90% ($630), AFUE 92% ($802), AFUE 96% ($1,747)</t>
  </si>
  <si>
    <t xml:space="preserve">Costs derived from Page E-3 of Appendix E of Residential Furnaces and Boilers Final Rule Technical Support Document:
http://www1.eere.energy.gov/buildings/appliance_standards/residential/fb_tsd_0907.html
</t>
  </si>
  <si>
    <t>Time of Sale: Costs based upon average cost per ton from “2010-2012 WA017 Ex Ante Measure Cost Study Draft Report”, Itron, February 28, 2014. Note SEER 17 and 18 are extrapolated from other data points.                               Early Replacement: Costs based upon average cost per ton for Equipment and Labor from Itron Measure Cost Study Results Matrix Volume 1 (part of “2010-2012 WA017 Ex Ante Measure Cost Study Draft Report”, Itron, February 28, 2014).</t>
  </si>
  <si>
    <t>Average</t>
  </si>
  <si>
    <t>Cooling Capacity (Btuh)</t>
  </si>
  <si>
    <t xml:space="preserve">Empower Category </t>
  </si>
  <si>
    <t>≥ 16 SEER and ≥ 13 EER and ≥ 9.0 HSPF</t>
  </si>
  <si>
    <t>≥ 18 SEER and ≥ 13 EER and ≥ 9.5 HSPF</t>
  </si>
  <si>
    <t>EmPower Incentive Levels Rated Motor Horsepower (HP)</t>
  </si>
  <si>
    <t>Average IMC of EmPOWER Categories</t>
  </si>
  <si>
    <t>Average IMC of EmPOWER Categories (2017$)</t>
  </si>
  <si>
    <t>CPUC Avg IMC (per Ton)</t>
  </si>
  <si>
    <t>Time of Sale/NC:   Incremental costs against a SEER 13 mini-split as presented in NEEP Incremental Cost Study Phase Two Final Report, January 2013. Results for 1 and 1.5 ton are based upon 21 SEER (most represented) and 18 SEER for 2 ton (only value provided). Values for 2.5 and 3 ton are assumed consistent with the other sizes.  Early Replacement Source: Based upon review of Ductless Heat Pumps for Residential Customers in Connecticut,  Swift, Joseph R and Rebecca A. Meyer, The Connecticut Light &amp; Power Company, 2010 ACEEE Summer Study on Energy Efficiency in Buildings (2-292). Also supported by findings in NEEP Northeast/Mid-Atlantic Air-Source Heat Pump Market Strategies Report, January 2014 and NEEP Incremental Cost Study Phase Two Final Report, January 2013. If existing heating and cooling load is replaced at the end of its life, then a baseline cost should be determined and subtracted from the full install cost.</t>
  </si>
  <si>
    <t xml:space="preserve">Time of Sale (federal standard) only. </t>
  </si>
  <si>
    <t>Time of Sale (federal baseline). The baseline condition is a non-condensing gas furnace with an AFUE of 80% (AFUE 81% if weatherized).</t>
  </si>
  <si>
    <t>These are not EmPOWER measures.</t>
  </si>
  <si>
    <t xml:space="preserve">$500 rebate for HPWH: EF &gt;=2.0 if under 55 gallons, EF&gt;=2.2 if over 55 gallons. </t>
  </si>
  <si>
    <t>Heat Pump Cost (Labor Included)</t>
  </si>
  <si>
    <t xml:space="preserve">Average Incremental Cost ($2017) by input capacity </t>
  </si>
  <si>
    <t>Minimum EmPOWER EF (2.0 under 55 gal, 2.2 if over 55 gal)</t>
  </si>
  <si>
    <t>EmPower - IMC Values</t>
  </si>
  <si>
    <t>Heat Pump Cost (2017 $ ) (Labor Included)</t>
  </si>
  <si>
    <t>Assume 40 gal cost (Labor Included)</t>
  </si>
  <si>
    <t>Assumed 40 gal cost  (2017 $) (Labor Included)</t>
  </si>
  <si>
    <t>Itron Calculations are based on Split System DX regressions. This was deemed appropriate for use because the Capacity range for these calculations are 1.4 to 4.8 tons (17000-58000 BTUH)</t>
  </si>
  <si>
    <t xml:space="preserve">Total Installed Costs (Incremental Cost) (Labor Included) </t>
  </si>
  <si>
    <t xml:space="preserve">Calculated Cost Itron (Labor Included) </t>
  </si>
  <si>
    <t xml:space="preserve">Calculated Cost Itron (2017 $) (Labor Included) </t>
  </si>
  <si>
    <t>Calculated Cost (Labor Not Included)</t>
  </si>
  <si>
    <t xml:space="preserve">Calculated Costs (Labor Not Included) </t>
  </si>
  <si>
    <t>Calculated Cost  (2017 $) (Labor Not Included)</t>
  </si>
  <si>
    <t xml:space="preserve">Baseline Cost (2017 $) (Labor Not Included) </t>
  </si>
  <si>
    <t xml:space="preserve">Efficient Cost (Labor Not Included) </t>
  </si>
  <si>
    <t xml:space="preserve">Baseline Cost (Labor Not Included) </t>
  </si>
  <si>
    <t xml:space="preserve">Efficient Cost (2017 $) (Labor Not Included) </t>
  </si>
  <si>
    <t xml:space="preserve">Incremental Cost ($/Ton) </t>
  </si>
  <si>
    <t>Incremental Cost ($/Ton) ($2017)</t>
  </si>
  <si>
    <t xml:space="preserve">Measure Cost(Labor Not Included) </t>
  </si>
  <si>
    <t xml:space="preserve">Measure (2017 $) </t>
  </si>
  <si>
    <t xml:space="preserve">Measure Cost/Ton (2017 $) (Labor Not Included) </t>
  </si>
  <si>
    <t xml:space="preserve"> capacity used for calculation (BTUH)</t>
  </si>
  <si>
    <t xml:space="preserve">Baseline SEER/EER used for calculation </t>
  </si>
  <si>
    <t xml:space="preserve">Baseline Cost/Ton (2017 $) (Labor Not Included) </t>
  </si>
  <si>
    <t>Baseline - (IECC 2015)</t>
  </si>
  <si>
    <t>11.2 EER/12.8 IEER</t>
  </si>
  <si>
    <t xml:space="preserve">11.0 EER/12.4 IEER </t>
  </si>
  <si>
    <t>11.6 IEER/10.0 EER</t>
  </si>
  <si>
    <t>9.7 EER/11.2 IEER</t>
  </si>
  <si>
    <t>Current CEE Tier 2  Measure Costs - No Electric Resistance</t>
  </si>
  <si>
    <t>Baseline - (IECC 2012)</t>
  </si>
  <si>
    <t>11.2 EER/11.4 IEER</t>
  </si>
  <si>
    <t>11.0 EER/11.2 IEER</t>
  </si>
  <si>
    <t>10.0 EER/10.1 IEER</t>
  </si>
  <si>
    <t>9.7 EER/9.8 IEER</t>
  </si>
  <si>
    <t>14.0 SEER/8.0 HSPF</t>
  </si>
  <si>
    <t>11.0 EER/12.0 IEER</t>
  </si>
  <si>
    <t>10.6 EER/11.6 IEER</t>
  </si>
  <si>
    <t>9.5 EER/10.6 IEER</t>
  </si>
  <si>
    <t>13.0 SEER/7.7 HSPF</t>
  </si>
  <si>
    <t>10.6 EER/10.7 IEER</t>
  </si>
  <si>
    <t>9.5 EER/9.6 IEER</t>
  </si>
  <si>
    <t>Current CEE Tier 1  Measure Costs - No Electric Resistance</t>
  </si>
  <si>
    <t xml:space="preserve"> CEE Tier 1 IMC (IECC 2012 as Baseline) - ROB, NC</t>
  </si>
  <si>
    <t>See http://www.bgesmartenergy.com/sites/default/files/public/BGE_IC_Tech_Sheet_HVAC.pdf</t>
  </si>
  <si>
    <t>See http://www.bgesmartenergy.com/sites/default/files/public/BGE_IC_Tech_Sheet_Lighting.pdf</t>
  </si>
  <si>
    <t xml:space="preserve">CEE Tier 1 ($100) and CEE Tier 2 ($200). See  http://www.bgesmartenergy.com/sites/default/files/public/BGE_IC_Tech_Sheet_Kitchen_Refrig_Appliance_PlugLoad.pdf   </t>
  </si>
  <si>
    <t xml:space="preserve">Use Itron values corresponding with EmPOWER incentives.  Also, clarify/confirm that IMCs are for EER Full Load (FLV), not EER Part Load (IPLV).  </t>
  </si>
  <si>
    <t xml:space="preserve"> EmPOWER Categories - VFD drives  (&gt;10HP) - NO Bypass</t>
  </si>
  <si>
    <t xml:space="preserve"> EmPOWER Categories - VFD drives  (&lt;= 10HP) - Assumed Bypass</t>
  </si>
  <si>
    <t xml:space="preserve"> EmPOWER Categories - VFD drives  (&gt;10HP) - Assumed Bypass</t>
  </si>
  <si>
    <t xml:space="preserve"> EmPOWER Categories - VFD drives  (&lt;= 10HP) - No Bypass</t>
  </si>
  <si>
    <t>2017 $ Adjusted</t>
  </si>
  <si>
    <t>Time of Sale  (federal standard)</t>
  </si>
  <si>
    <t>Refrigerator -  Time of Sale</t>
  </si>
  <si>
    <t xml:space="preserve">Time of Sale (federal standard).  </t>
  </si>
  <si>
    <t>Time of Sale/New (based on IECC model code)</t>
  </si>
  <si>
    <r>
      <t>Material</t>
    </r>
    <r>
      <rPr>
        <b/>
        <vertAlign val="superscript"/>
        <sz val="11"/>
        <rFont val="Times New Roman"/>
        <family val="1"/>
      </rPr>
      <t>1</t>
    </r>
  </si>
  <si>
    <r>
      <t>Installation</t>
    </r>
    <r>
      <rPr>
        <b/>
        <vertAlign val="superscript"/>
        <sz val="11"/>
        <rFont val="Times New Roman"/>
        <family val="1"/>
      </rPr>
      <t>1</t>
    </r>
  </si>
  <si>
    <r>
      <t>Weights</t>
    </r>
    <r>
      <rPr>
        <b/>
        <vertAlign val="superscript"/>
        <sz val="11"/>
        <rFont val="Times New Roman"/>
        <family val="1"/>
      </rPr>
      <t>2</t>
    </r>
  </si>
  <si>
    <t>Weighted Material</t>
  </si>
  <si>
    <t>Weighted Installation</t>
  </si>
  <si>
    <t>RSMeans City Cost Indices for Maryland</t>
  </si>
  <si>
    <t>ANNAPOLIS</t>
  </si>
  <si>
    <t>BALTIMORE</t>
  </si>
  <si>
    <t>COLLEGE PARK</t>
  </si>
  <si>
    <t>CUMBERLAND</t>
  </si>
  <si>
    <t>EASTON</t>
  </si>
  <si>
    <t>ELKTON</t>
  </si>
  <si>
    <t>HAGERSTOWN</t>
  </si>
  <si>
    <t>SALISBURY</t>
  </si>
  <si>
    <t xml:space="preserve">SILVER SPRING </t>
  </si>
  <si>
    <t>WALDORF</t>
  </si>
  <si>
    <t>Unweighted average</t>
  </si>
  <si>
    <t>Population wieghted average</t>
  </si>
  <si>
    <t>Table G-1:  Statewide RSMeans Cost Indices Weighted by 2010-2012 HVAC Measure Claims</t>
  </si>
  <si>
    <t>Climate Zone</t>
  </si>
  <si>
    <t>Reference City</t>
  </si>
  <si>
    <t>Eureka</t>
  </si>
  <si>
    <t>Santa Rosa</t>
  </si>
  <si>
    <t>San Francisco</t>
  </si>
  <si>
    <t>San Jose</t>
  </si>
  <si>
    <t>San Luis Obispo</t>
  </si>
  <si>
    <t>Santa Barbara</t>
  </si>
  <si>
    <t>San Diego</t>
  </si>
  <si>
    <t>Santa Ana</t>
  </si>
  <si>
    <t>Los Angeles</t>
  </si>
  <si>
    <t>Riverside</t>
  </si>
  <si>
    <t>Redding</t>
  </si>
  <si>
    <t>Sacramento</t>
  </si>
  <si>
    <t>Fresno</t>
  </si>
  <si>
    <t>Mojave</t>
  </si>
  <si>
    <t>Palm Springs</t>
  </si>
  <si>
    <t>Susanville</t>
  </si>
  <si>
    <t>1 - Table 21, 22, 23 (Fire Suppression, Plumbing, &amp; HVAC) RSMeans MasterFormat City Cost Indexes, Year 2013 National Average Base</t>
  </si>
  <si>
    <t>2 - 2010-2012 Standard Program Tracking Data (all in-scope deemed HVAC claims)</t>
  </si>
  <si>
    <t>CA to MD</t>
  </si>
  <si>
    <t>When used in doccument</t>
  </si>
  <si>
    <t xml:space="preserve">When labor represents the california average </t>
  </si>
  <si>
    <t>2013-2017</t>
  </si>
  <si>
    <t xml:space="preserve">&lt;- Used for Itron MCS  Inflation Adjustment </t>
  </si>
  <si>
    <t>National to MD wieghted Avg</t>
  </si>
  <si>
    <t>Efficient Condition (Labor Included)</t>
  </si>
  <si>
    <t>HVAC Labor Adjustment  Factors</t>
  </si>
  <si>
    <t xml:space="preserve">Consider using Itron value (~$20) -- Current values seem too high.  EIA AEO assumes $20 incremental cost between Energy Star and standard unit; $0 difference between Energy Star and current practice unit. RTF study is half of Itron values, but based on old study.  Mid-Atlantic, IL TRM and CA values are also based on older studies with much higher, incremental costs.   </t>
  </si>
  <si>
    <t xml:space="preserve">If DC or DE interested, Itron can provide tables with total costs for various categories of RACs -- see Room Air Conditioner - Time of Sale sheets.  Also, for early replacement, the incremental costs should be equal to the full cost of the new unit minus the discounted future cost (at end of the RUL) of the base unit. </t>
  </si>
  <si>
    <t>AFUE 92% or higher and input rating of 300,000 BTU or lower.</t>
  </si>
  <si>
    <t>EER</t>
  </si>
  <si>
    <t>Empower Incentive categories as the Efficient Condition</t>
  </si>
  <si>
    <t>Baseline -Efficient Water Heater</t>
  </si>
  <si>
    <t>Labor Costs Not included in calculation, but are provided as a reference</t>
  </si>
  <si>
    <t>Midpoint - capacity used for calculation (BTUH)</t>
  </si>
  <si>
    <t xml:space="preserve">EmPower Cost (2017 $) </t>
  </si>
  <si>
    <t xml:space="preserve">SEER/EER </t>
  </si>
  <si>
    <t>Baseline  (Labor Included)</t>
  </si>
  <si>
    <t>Baseline  (no Labor)</t>
  </si>
  <si>
    <t>Table G-2:  Statewide RSMeans Cost Indices Weighted by 2010-2012 Lighting Measure Claims</t>
  </si>
  <si>
    <t>1 - Table 26, 27, 3370 (Electrical, Communications, &amp; Utilities) RSMeans MasterFormat City Cost Indexes, Year 2013 National Average Base</t>
  </si>
  <si>
    <t>2 - 2010-2012 Standard Program Tracking Data (all in-scope deemed nonresidential lighting claims)</t>
  </si>
  <si>
    <t>Lighting Labor Adjustment  Factors</t>
  </si>
  <si>
    <t xml:space="preserve">Capacity used For calculation </t>
  </si>
  <si>
    <t xml:space="preserve">Product Type and Class (Btu/hour) Specified by Mid A TRM </t>
  </si>
  <si>
    <t>Use current TRM values adjusted for inflation.</t>
  </si>
  <si>
    <t>Residential Small Gas water  Heater - Gas Tankless</t>
  </si>
  <si>
    <t>Residential Small Gas water  Heater - Gas Storage</t>
  </si>
  <si>
    <t xml:space="preserve">Not Available </t>
  </si>
  <si>
    <t>2016-2017</t>
  </si>
  <si>
    <t>Efficient Condition (No Included)</t>
  </si>
  <si>
    <t>Cooling Capacity (BtuH)</t>
  </si>
  <si>
    <t>Capacity (BtuH)</t>
  </si>
  <si>
    <t>Small Packaged DX 
(&lt;= 5 tons)</t>
  </si>
  <si>
    <t xml:space="preserve">Large Packaged DX 
(&gt; 5 tons) </t>
  </si>
  <si>
    <t>Rated Capacity (Btuh)</t>
  </si>
  <si>
    <t>Brand</t>
  </si>
  <si>
    <t>Small Packaged HP
 (&lt; 65,000 Btuh)</t>
  </si>
  <si>
    <t>Large Packaged HP 
(65,000 - 240,000 Btuh)</t>
  </si>
  <si>
    <t>2015-2017</t>
  </si>
  <si>
    <t>2014-2017</t>
  </si>
  <si>
    <t>When average  RS means has been applied and results represent the national average</t>
  </si>
  <si>
    <t xml:space="preserve">When labor represents the California average </t>
  </si>
  <si>
    <t>When  average RS means has been applied and results represent the national average</t>
  </si>
  <si>
    <t xml:space="preserve">IMCs provided for SEER 13, 18, 21 and 26 and 9, 12, 18 and 24 kBTUH capacities.   </t>
  </si>
  <si>
    <t xml:space="preserve">Clothes washer for Com uses RES equation n from Itron MCS. Results not  be valid </t>
  </si>
  <si>
    <t>Minimum SEER/EER Eligibility</t>
  </si>
  <si>
    <t xml:space="preserve">A standard low-efficiency permanent split capacitor (PSC) fan motor.  Retrofit and Time of Sale. </t>
  </si>
  <si>
    <t xml:space="preserve">Consider enhancing the VEIC source documentation, which does not include dates or other discussion of methods used.  We have no better sources and the values seem reasonable, but level of detail is insufficient to match to corresponding  EmPOWER rebate levels.   </t>
  </si>
  <si>
    <t xml:space="preserve">Consider updating.  As a benchmark, Homewyse.com calculator gives ~$400 difference between SEER 15 and SEER 20 units, with total installed cost for SEER 15 about $6k and SEER 20 at $6.4k, assuming 18kBTU capacity units.  TRM assumes ~$600 for all capacities for SEERs 18 and 20.  Also, note that incremental costs in TRM are relative to a 13 SEER baseline unit -- the federal standard baseline changed to SEER 14 in 2015.  Homewyse values are based on four distributor web sites, which are listed on Homewyse webpage (see https://www.homewyse.com/costs/cost_of_ductless_heat_pump_systems.html).     </t>
  </si>
  <si>
    <t xml:space="preserve">EmPOWER rebate categories include SEER 14.5-plus units and SEER 18-plus units.  At this point in time, the IMC between a 14.5 (lower tier EmPOWER unit) and a 14 SEER federal standard unit is likely close to zero.  The IMC for 18 SEER units should be no higher than $400, based on Homewyse.com.  Data was not available to enable us to estimate cost differences based on HSPF. </t>
  </si>
  <si>
    <t xml:space="preserve">The current TRM values are in line with Itron calculator values.  Consider adjusting for inflation.  Itron calculator available upon request if greater detail is desired.   </t>
  </si>
  <si>
    <t xml:space="preserve">HPwES program currently offers cost-based incentives, but transitioning to performance-based incentives.  </t>
  </si>
  <si>
    <t xml:space="preserve">Project costs have been known in past because incentives were cost-based. It is unclear if costs will still be known under new performance based incentive program.  </t>
  </si>
  <si>
    <t xml:space="preserve">OK as is in TRM, but EmPOWER programs may need to consider other options.     </t>
  </si>
  <si>
    <t>Duct Sealing Measures (Residential)</t>
  </si>
  <si>
    <t>Shell Measures (Residential)</t>
  </si>
  <si>
    <t xml:space="preserve">Consider using Itron detailed values, which can be aligned with program measure eligibility.  Current MidA TRM IMC value ($1000) for TOS is OK, but may be on the high side for 40-gallon units and source is unclear and appears dated.   </t>
  </si>
  <si>
    <t>Average Incremental Cost ($2017) for 40 Gallon Units</t>
  </si>
  <si>
    <t>Average Incremental Cost ($2017) for 60 Gallon Units</t>
  </si>
  <si>
    <t xml:space="preserve">EmPOWER makes no distinction between early replacement and time of sale purchases.  Rebates are $100 for Energy Star and $150 for CEE Tier 2.  (Note that rebate levels exceed the current TRM TOS incremental costs.) </t>
  </si>
  <si>
    <t xml:space="preserve">Consider using Itron values if revisions or more detail is desired.   The current TRM values are in line with Itron calculations and  the Illinois TRM.  </t>
  </si>
  <si>
    <t>BGE gives $100 rebate for SEER 16/8.2 HSPF Ductless Minisplit Heat Pumps and for SEER 16 Minisplit Air Conditioners.</t>
  </si>
  <si>
    <t xml:space="preserve">Measure Cost Source: Navigant, Inc. Incremental Cost Study Phase 2. January 16, 2013. Table 16. Baseline source: Energy Star Calculator. http://www.energystar.gov/ia/business/bulk_purchasing/bpsavings_calc/CalculatorConsumerRoomAC.xls) Energy Star Calculator. 46% added to value to reflect labor, based on ratio of equipment to labor cost for measure EffFurn-cond-90AFUE in DEER database. http://www.energystar.gov/buildings/sites/default/uploads/files/Furnace_Calculator.xls?8178-e52c If existing case is electric resistance heat, assume project replaces existing functional baseboard.
</t>
  </si>
  <si>
    <t>Not Applicable</t>
  </si>
  <si>
    <t>Commercial Heat Pumps - Air Cooled Split and Single packaged</t>
  </si>
  <si>
    <t xml:space="preserve">Retrofit  </t>
  </si>
  <si>
    <t xml:space="preserve">Variable Frequency Drive (VFD) </t>
  </si>
  <si>
    <t xml:space="preserve">Incentives for water cooled chillers are based on kW/ton with additional incentives based on 0.01 kW incremental reductions.  See http://www.bgesmartenergy.com/sites/default/files/public/BGE_IC_Tech_Sheet_HVAC.pdf.  </t>
  </si>
  <si>
    <t xml:space="preserve">Time of Sale. For Maryland, the baseline condition is a standard efficiency air or water chilling package equal to the requirements presented in the International Energy Conservation Code 2015 (IECC 2015), Table C403.2.3(7).  For Washington, D.C. and Delaware, the baseline condition is a standard efficiency air or water chilling package equal to the requirements presented in the International Energy Conservation Code 2012 (IECC 2012), Table C403.2.3(7). </t>
  </si>
  <si>
    <t xml:space="preserve">Consider revising HP categories to be consistent with EmPOWER and other jurisdictions. Also, consider including bypass and non-bypass IMC values.  The current TRM IMC values assume no bypass, but manufacturers often recommend bypass and IMC values will be higher with bypass and the TRM does include part load factors that are heavily influenced by bypass.  I was unable to determine if VFDs with bypass comprise a significant share of EmPOWER savings since it is not reported -- This is interesting given the importance in  determining savings)-- bypass is the first consideration in the TRM part load ratio table, which significantly affects savings.  Itron IMC provides breakdown based on HP, bypass and NEMA motor types 1, 3 and 12 (see NEMA definitions in file).  However, based on conversations with evaluators, the EMPOWER utilities and evaluators have minimal data on VFD bypass or other features to use that level granularity.   </t>
  </si>
  <si>
    <t xml:space="preserve">Consider using Itron values.  Current TRM values are dated (2011) and there are some discrepancies in source document.  </t>
  </si>
  <si>
    <t xml:space="preserve">Consider using Itron values corresponding with EmPOWER incentives.  Also, clarify/confirm that IMCs are for EER Full Load (FLV), not EER Part Load (IPLV).  </t>
  </si>
  <si>
    <t xml:space="preserve">Dual baseline.  </t>
  </si>
  <si>
    <t xml:space="preserve">CEE has suspended Commercial Clothes Washers. </t>
  </si>
  <si>
    <t>EmPOWER makes no distinction between early replacement and time of sale purchases.  IMEF =&gt;2.74 and IWF &lt;=3.2 ($75). IMEF &gt;=2.92 and IWF &lt;=3.2 ($100). See https://bgesmartenergy.com/residential/appliance-rebates/clothes-washers</t>
  </si>
  <si>
    <t xml:space="preserve">Time of Sale and Early Replacement.  Dual baseline assumes EUL = 18 years and RUL = 6 years.  </t>
  </si>
  <si>
    <t xml:space="preserve">Dual baseline.  EUL = 12 and RUL = 3.  </t>
  </si>
  <si>
    <t>Time of Sale is federal standard ASHP.</t>
  </si>
  <si>
    <t xml:space="preserve">Dual baseline.  RUL = 4 years; EUL =12 years.  </t>
  </si>
  <si>
    <t xml:space="preserve">Dual baseline.  RUL = 5 years; EUL =14 years.  </t>
  </si>
  <si>
    <t>Consider adjusting current TRM values for inflation.</t>
  </si>
  <si>
    <t xml:space="preserve">Installed free of charge as part of HPwES, QHEC and Limited Income programs. </t>
  </si>
  <si>
    <t>AFUE</t>
  </si>
  <si>
    <t xml:space="preserve">Source: </t>
  </si>
  <si>
    <t>Technical Support Document:  Energy Efficiency Program for Consumer Products and Commercial and Industrial Equipment:  Residential Furnaces</t>
  </si>
  <si>
    <t>https://www.regulations.gov/document?D=EERE-2014-BT-STD-0031-0217</t>
  </si>
  <si>
    <t>Table 8.2.16</t>
  </si>
  <si>
    <t>Avg Total Installed Cost</t>
  </si>
  <si>
    <t>Avg Condensing</t>
  </si>
  <si>
    <t>Highlighted values are average of the four condensing furnace categories.</t>
  </si>
  <si>
    <t>Include DOE TSD August 2016 total and component installed cost values for AFUE 80, 90, 92, 95 and 98, along with a separate annual maintenance cost value.</t>
  </si>
  <si>
    <t xml:space="preserve">Population </t>
  </si>
  <si>
    <t>Annualized Repair &amp; Maintenance Cost</t>
  </si>
  <si>
    <t>Tables 8.2.22 &amp; 8.2.23</t>
  </si>
  <si>
    <t xml:space="preserve">Consider revising values to reflect Final Rule Technical Support Document (TSD) dated August 2016, adjusted for Maryland and inflation.  Also, consider adding TSD maintenance costs ($4.19 annual).  </t>
  </si>
  <si>
    <t xml:space="preserve">Consider using Itron values based on Itron regression.  Current TRM value is based on Navigant (2014).  CEE requirements have since changed and the assumed baseline of IECC 2012 is not used in Maryland.  Note Itron regression was not estimated for split CAC units over 65k BTU; Itron used packaged unit incremental cost regression equations to estimate costs for split system units.   </t>
  </si>
  <si>
    <t xml:space="preserve">Itron does not have data to support a recommendation, especially given the numerous baseline possibilities associated with t his measure. Note that the current TRM values are based on data from 2013.  </t>
  </si>
  <si>
    <t>Without Ultrasonic: 130.01
With Ultrasonic: $176.08</t>
  </si>
  <si>
    <t xml:space="preserve">EmPower Measure Cost </t>
  </si>
  <si>
    <t xml:space="preserve">EmPower Cost Cost/Ton </t>
  </si>
  <si>
    <t xml:space="preserve">EmPower Cost/Ton (2017 $) </t>
  </si>
  <si>
    <t>Empower Incentive Categories as the Efficient Condition</t>
  </si>
  <si>
    <t xml:space="preserve">Baseline Cost/Ton </t>
  </si>
  <si>
    <t>Empower Incentive Category IMC</t>
  </si>
  <si>
    <t>Additional Costs to be applied based on Scenario</t>
  </si>
  <si>
    <t>TOS/Ton (2017$)</t>
  </si>
  <si>
    <t>TOS (2017$)</t>
  </si>
  <si>
    <t xml:space="preserve">TOS/Ton </t>
  </si>
  <si>
    <t>Lifecycle Retrofit/Early Replacement Incremental Cost Calculator</t>
  </si>
  <si>
    <t>Real Discount Rate</t>
  </si>
  <si>
    <t>EUL</t>
  </si>
  <si>
    <t>PV Real Levelized Carrying Charge for Existing Furnace</t>
  </si>
  <si>
    <t>PV Real Levelized Carrying Charge for New Furnace</t>
  </si>
  <si>
    <t>Incremental cost of early replace w/ standard equipment</t>
  </si>
  <si>
    <t>Scenario</t>
  </si>
  <si>
    <t>Measure Cost</t>
  </si>
  <si>
    <t>CAC Baseline based on TRM description</t>
  </si>
  <si>
    <t>ER Cost factor (E/H)</t>
  </si>
  <si>
    <t xml:space="preserve">TOS - ASHP Only </t>
  </si>
  <si>
    <t>Measure Cost (2017 $)</t>
  </si>
  <si>
    <t>Measure Cost Cost/Ton</t>
  </si>
  <si>
    <t>Measure Cost/Ton (2017 $)</t>
  </si>
  <si>
    <t>Return To Master Summary</t>
  </si>
  <si>
    <t>IMC - TOS</t>
  </si>
  <si>
    <t>Assumed 40 gal cost  (2017 $) (Labor NOT Included)</t>
  </si>
  <si>
    <t>Heat Pump Cost (Labor NOT Included)</t>
  </si>
  <si>
    <t>Lifecycle Retrofit/Early Replacement Incremental Cost</t>
  </si>
  <si>
    <t xml:space="preserve">Front Loading </t>
  </si>
  <si>
    <t>Capacity 3.5</t>
  </si>
  <si>
    <t xml:space="preserve">Top Loading </t>
  </si>
  <si>
    <t xml:space="preserve">Labor </t>
  </si>
  <si>
    <t>Recommended Incremental Costs (assumes 3-Ton Units)</t>
  </si>
  <si>
    <t>Time of Sale</t>
  </si>
  <si>
    <t>Time of Sale Cost per Ton ($2013)</t>
  </si>
  <si>
    <t>Early Replacement Cost per Ton    ($2013)</t>
  </si>
  <si>
    <t>Mid-Atlantic TRM Version 6.0</t>
  </si>
  <si>
    <t>For Reference Only</t>
  </si>
  <si>
    <t>TOS w/Retrofit ECM (2017$)</t>
  </si>
  <si>
    <t xml:space="preserve">Per Ton Time of Sale Incremental Cost - CAC Only </t>
  </si>
  <si>
    <t xml:space="preserve">TOS Incremental Unit Cost - CAC Only </t>
  </si>
  <si>
    <t>TOS Incremental Unit Cost - CAC Only ($2017)</t>
  </si>
  <si>
    <t>Per Ton Time of Sale Incremental Cost - CAC Only ($2017)</t>
  </si>
  <si>
    <t>TOS Incremental Unit Cost w Central Furnace(2017$)</t>
  </si>
  <si>
    <t>Components</t>
  </si>
  <si>
    <t xml:space="preserve">Incremental Cost per Ton ($2017) </t>
  </si>
  <si>
    <t>Incremental Cost per Unit ($2017)</t>
  </si>
  <si>
    <t>Base Case Equipment Cost per Unit ($2017)</t>
  </si>
  <si>
    <t>Base Case Equipment Cost per Ton ($2017)</t>
  </si>
  <si>
    <t>Measure Equipment Cost per Unit ($2017)</t>
  </si>
  <si>
    <t>Measure Equipment Cost per Ton ($2017)</t>
  </si>
  <si>
    <t>Btu</t>
  </si>
  <si>
    <t>Lifecycle Retrofit/Early Replacement Incremental Cost w/ Central Furnace (2017$)</t>
  </si>
  <si>
    <t>Lifecycle Retrofit/Early Replacement Incremental Cost w/ Retrofit ECM ($2017)</t>
  </si>
  <si>
    <t>Lifecycle Retrofit/Early Replacement Incremental Cost CAC- Only ($2017)</t>
  </si>
  <si>
    <t>Incremental cost of early replace w/ standard equipment ($2017)</t>
  </si>
  <si>
    <t>CAC-Only Measure Equipment Cost per Ton ($2017)</t>
  </si>
  <si>
    <t>CAC-Only Measure Equipment Cost per Unit ($2017)</t>
  </si>
  <si>
    <t>CAC-Only Incremental Cost per Unit ($2017)</t>
  </si>
  <si>
    <t xml:space="preserve">CAC-Only Incremental Cost per Ton ($2017) </t>
  </si>
  <si>
    <t>CAC plus Furnace Incremental Cost per Unit ($2017)</t>
  </si>
  <si>
    <t xml:space="preserve">CAC plus Furnace Incremental Cost per Ton ($2017) </t>
  </si>
  <si>
    <t>CAC plus Retrofit ECM Incremental Cost per Unit ($2017)</t>
  </si>
  <si>
    <t>Cost Components</t>
  </si>
  <si>
    <t>Capacity 4.5</t>
  </si>
  <si>
    <t xml:space="preserve">Calculated Measure Cost </t>
  </si>
  <si>
    <t>IMEF</t>
  </si>
  <si>
    <t xml:space="preserve">Compartment Capacity </t>
  </si>
  <si>
    <t xml:space="preserve">Base Case Equipment Cost  ($2017) </t>
  </si>
  <si>
    <t>Recommended Incremental Costs - Front Loading Clothes Washers</t>
  </si>
  <si>
    <t>Recommended Incremental Costs - Top Loading Clothes Washers</t>
  </si>
  <si>
    <t xml:space="preserve">HP Equation  Range </t>
  </si>
  <si>
    <t xml:space="preserve">Total Installed Costs (Labor Included) </t>
  </si>
  <si>
    <t xml:space="preserve">Average IMC of EmPOWER Categories </t>
  </si>
  <si>
    <t xml:space="preserve">Calculated Total Installed Costs (Labor Included) </t>
  </si>
  <si>
    <t>Note: Itron Calculations designed for 1- 100 HP. Itron Model looses robustness after 100 HP</t>
  </si>
  <si>
    <t>Lifecycle Retrofit/Early Replacement Incremental Cost (Energy Star)</t>
  </si>
  <si>
    <t>Lifecycle Retrofit/Early Replacement Incremental Cost (CEE Tier 2)</t>
  </si>
  <si>
    <t xml:space="preserve">Measure -ENERGY STAR Maximum Energy Usage in kWh/year Equation </t>
  </si>
  <si>
    <t>Efficient Condition - ENERGY STAR Maximum Energy Usage in kWh/year</t>
  </si>
  <si>
    <t xml:space="preserve">Calculated Energy Star Cost </t>
  </si>
  <si>
    <t>Calculated Tier 2 Cost</t>
  </si>
  <si>
    <t>Component Calculations Based on Itron MCS</t>
  </si>
  <si>
    <t>TOS - Energy Star as Measure</t>
  </si>
  <si>
    <t>TOS - CEER 2</t>
  </si>
  <si>
    <t>Component Calculations Based on Itron MCS ($ 2017)</t>
  </si>
  <si>
    <t>IMC - TOS ($ 2017)</t>
  </si>
  <si>
    <t>IMC Early Replacement (2017$)</t>
  </si>
  <si>
    <t xml:space="preserve">Product Category </t>
  </si>
  <si>
    <t xml:space="preserve">Components </t>
  </si>
  <si>
    <t>AV (volume ft3) = 25</t>
  </si>
  <si>
    <t>TOS - Energy Star ($2017)</t>
  </si>
  <si>
    <t>TOS - Tier 2 ($2017)</t>
  </si>
  <si>
    <t>ER - Energy Star ($2017)</t>
  </si>
  <si>
    <t>ER - Tier 2 ($2017)</t>
  </si>
  <si>
    <t>Time of Sale - Energy Star ($2013)</t>
  </si>
  <si>
    <t>Time of Sale - CEER Tier 2 ($2013)</t>
  </si>
  <si>
    <t xml:space="preserve"> CEER Tier 2 Calculated Cost ($2017)</t>
  </si>
  <si>
    <t>Energy Star Calculated Cost ($2017)</t>
  </si>
  <si>
    <t>Calculated Baseline Cost ($2017)</t>
  </si>
  <si>
    <t xml:space="preserve">Early Replacement  Initial Cost - Energy Star </t>
  </si>
  <si>
    <t>Early Replacement  Initial Cost - CEER Tier 2</t>
  </si>
  <si>
    <t>avoided replacement cost (after 4 years) of a baseline replacement refrigerator</t>
  </si>
  <si>
    <t>Baseline - Maximum Energy Usage in kWh/year Calculated using Equation to the left</t>
  </si>
  <si>
    <t>Itron MCS does not consider cost for Refrigerators Washers</t>
  </si>
  <si>
    <t>No Labor Associated with Residential Refrigerators</t>
  </si>
  <si>
    <t>Annual Energy usage Calculations -From TRM</t>
  </si>
  <si>
    <t>Recommended Incremental Costs (Assumes Adjusted Volume of 25 ft. Cubed)</t>
  </si>
  <si>
    <t xml:space="preserve">Federal Baseline - Maximum Energy Usage in kWh/year Equation </t>
  </si>
  <si>
    <t>Itron MCS does not consider cost for Residential Clothes Washers</t>
  </si>
  <si>
    <t>Lifecycle Retrofit/Early Replacement Incremental Cost ASHP</t>
  </si>
  <si>
    <t>Per Ton Lifecycle Retrofit/Early Replacement Incremental Cost ASHP</t>
  </si>
  <si>
    <t>CAC Labor (2017$) from Itron Measure Cost study (Adjusted for Inflation and Location)</t>
  </si>
  <si>
    <t>ASHP Labor (2017$) - from Itron Measure Cost study (Adjusted for Inflation and Location)</t>
  </si>
  <si>
    <t>ECM Retrofit 0.5 HP Brushless Fan Motor (ECM) - From Itron MCS</t>
  </si>
  <si>
    <t>ECM Retrofit Labor - From Itron MCS</t>
  </si>
  <si>
    <t>Incremental Cost ($2017)</t>
  </si>
  <si>
    <t xml:space="preserve">Measure (Labor Not Included) </t>
  </si>
  <si>
    <t xml:space="preserve">Measure Cost (2017 $) </t>
  </si>
  <si>
    <t xml:space="preserve">Baseline Efficiency </t>
  </si>
  <si>
    <t>SEER/EER used</t>
  </si>
  <si>
    <t>ER IMC Cost Calculator</t>
  </si>
  <si>
    <t xml:space="preserve">Labor (assumed roof mount) based on closest capacity available </t>
  </si>
  <si>
    <t>water cooled with Centrifugal VSD</t>
  </si>
  <si>
    <t xml:space="preserve">gound </t>
  </si>
  <si>
    <t>Labor</t>
  </si>
  <si>
    <t xml:space="preserve">RUL - From TRM V6 </t>
  </si>
  <si>
    <t xml:space="preserve">EUL  From TRM V6 </t>
  </si>
  <si>
    <r>
      <t xml:space="preserve">Lifecycle Retrofit/Early Replacement Incremental Cost - Energy Star </t>
    </r>
    <r>
      <rPr>
        <b/>
        <i/>
        <sz val="12"/>
        <color theme="1"/>
        <rFont val="Calibri"/>
        <family val="2"/>
        <scheme val="minor"/>
      </rPr>
      <t>with</t>
    </r>
    <r>
      <rPr>
        <sz val="12"/>
        <color theme="1"/>
        <rFont val="Calibri"/>
        <family val="2"/>
        <scheme val="minor"/>
      </rPr>
      <t xml:space="preserve"> Louvered Sides</t>
    </r>
  </si>
  <si>
    <r>
      <t xml:space="preserve">Incremental cost of early replace w/ standard equipment - </t>
    </r>
    <r>
      <rPr>
        <b/>
        <i/>
        <sz val="11"/>
        <color theme="1"/>
        <rFont val="Calibri"/>
        <family val="2"/>
        <scheme val="minor"/>
      </rPr>
      <t>Without</t>
    </r>
    <r>
      <rPr>
        <sz val="11"/>
        <color theme="1"/>
        <rFont val="Calibri"/>
        <family val="2"/>
        <scheme val="minor"/>
      </rPr>
      <t xml:space="preserve"> Louvered Sides</t>
    </r>
  </si>
  <si>
    <t xml:space="preserve">No Labor Value provided by Itron MCS. Therefore, No labor costs are included in Room AC numbers. </t>
  </si>
  <si>
    <t>Calculated Component Costs</t>
  </si>
  <si>
    <r>
      <t xml:space="preserve">Lifecycle Retrofit/Early Replacement Incremental Cost - Energy Star </t>
    </r>
    <r>
      <rPr>
        <b/>
        <i/>
        <sz val="12"/>
        <color theme="1"/>
        <rFont val="Calibri"/>
        <family val="2"/>
        <scheme val="minor"/>
      </rPr>
      <t>without</t>
    </r>
    <r>
      <rPr>
        <sz val="12"/>
        <color theme="1"/>
        <rFont val="Calibri"/>
        <family val="2"/>
        <scheme val="minor"/>
      </rPr>
      <t xml:space="preserve"> Louvered Sides</t>
    </r>
  </si>
  <si>
    <r>
      <t>Incremental cost of early replace w/ standard equipment -</t>
    </r>
    <r>
      <rPr>
        <b/>
        <i/>
        <sz val="12"/>
        <color theme="1"/>
        <rFont val="Calibri"/>
        <family val="2"/>
        <scheme val="minor"/>
      </rPr>
      <t>with</t>
    </r>
    <r>
      <rPr>
        <sz val="12"/>
        <color theme="1"/>
        <rFont val="Calibri"/>
        <family val="2"/>
        <scheme val="minor"/>
      </rPr>
      <t xml:space="preserve"> Louvered Sides</t>
    </r>
  </si>
  <si>
    <r>
      <t xml:space="preserve">ENERGY STAR </t>
    </r>
    <r>
      <rPr>
        <b/>
        <i/>
        <sz val="11"/>
        <color theme="1"/>
        <rFont val="Calibri"/>
        <family val="2"/>
        <scheme val="minor"/>
      </rPr>
      <t>without</t>
    </r>
    <r>
      <rPr>
        <sz val="11"/>
        <color theme="1"/>
        <rFont val="Calibri"/>
        <family val="2"/>
        <scheme val="minor"/>
      </rPr>
      <t xml:space="preserve"> louvered sides </t>
    </r>
  </si>
  <si>
    <r>
      <t xml:space="preserve">ENERGY STAR </t>
    </r>
    <r>
      <rPr>
        <b/>
        <i/>
        <sz val="11"/>
        <color theme="1"/>
        <rFont val="Calibri"/>
        <family val="2"/>
        <scheme val="minor"/>
      </rPr>
      <t>with</t>
    </r>
    <r>
      <rPr>
        <sz val="11"/>
        <color theme="1"/>
        <rFont val="Calibri"/>
        <family val="2"/>
        <scheme val="minor"/>
      </rPr>
      <t xml:space="preserve"> louvered sides</t>
    </r>
  </si>
  <si>
    <r>
      <rPr>
        <b/>
        <i/>
        <sz val="11"/>
        <color theme="1"/>
        <rFont val="Calibri"/>
        <family val="2"/>
        <scheme val="minor"/>
      </rPr>
      <t>With</t>
    </r>
    <r>
      <rPr>
        <sz val="11"/>
        <color theme="1"/>
        <rFont val="Calibri"/>
        <family val="2"/>
        <scheme val="minor"/>
      </rPr>
      <t xml:space="preserve"> Louvered sides</t>
    </r>
  </si>
  <si>
    <r>
      <rPr>
        <b/>
        <i/>
        <sz val="11"/>
        <color theme="1"/>
        <rFont val="Calibri"/>
        <family val="2"/>
        <scheme val="minor"/>
      </rPr>
      <t>without</t>
    </r>
    <r>
      <rPr>
        <sz val="11"/>
        <color theme="1"/>
        <rFont val="Calibri"/>
        <family val="2"/>
        <scheme val="minor"/>
      </rPr>
      <t xml:space="preserve"> louvered sides</t>
    </r>
  </si>
  <si>
    <t>IMC Calculations</t>
  </si>
  <si>
    <t>Heat Pump Cost (2017 $ ) (Labor Not Included)</t>
  </si>
  <si>
    <t>EmPOWER Categories  IMC with Labor</t>
  </si>
  <si>
    <t>Assume 40 gal cost (Labor Not Included)</t>
  </si>
  <si>
    <t>EmPower - IMC Values -TOS</t>
  </si>
  <si>
    <t>Recommended Incremental Costs (assumes Averages for 40 and 60 Gallon Units)</t>
  </si>
  <si>
    <t xml:space="preserve">Minimum Efficiency </t>
  </si>
  <si>
    <t>40 Gallon Heat Pump Water Heater</t>
  </si>
  <si>
    <t>60 Gallon Heat Pump Water Heater</t>
  </si>
  <si>
    <t>Labor Cost - HPWH</t>
  </si>
  <si>
    <t xml:space="preserve">Efficiency Factor </t>
  </si>
  <si>
    <r>
      <t xml:space="preserve">Base Case Equipment Cost per Unit ($2017) - 40 Gallon Efficient Gas Water Heater </t>
    </r>
    <r>
      <rPr>
        <b/>
        <i/>
        <sz val="11"/>
        <color theme="1"/>
        <rFont val="Calibri"/>
        <family val="2"/>
        <scheme val="minor"/>
      </rPr>
      <t>without</t>
    </r>
    <r>
      <rPr>
        <b/>
        <sz val="11"/>
        <color theme="1"/>
        <rFont val="Calibri"/>
        <family val="2"/>
        <scheme val="minor"/>
      </rPr>
      <t xml:space="preserve"> Labor </t>
    </r>
  </si>
  <si>
    <r>
      <t xml:space="preserve">Base Case Equipment Cost per Unit ($2017) - 40 Gallon Efficient Gas Water Heater </t>
    </r>
    <r>
      <rPr>
        <b/>
        <i/>
        <sz val="11"/>
        <color theme="1"/>
        <rFont val="Calibri"/>
        <family val="2"/>
        <scheme val="minor"/>
      </rPr>
      <t>with</t>
    </r>
    <r>
      <rPr>
        <b/>
        <sz val="11"/>
        <color theme="1"/>
        <rFont val="Calibri"/>
        <family val="2"/>
        <scheme val="minor"/>
      </rPr>
      <t xml:space="preserve"> Labor </t>
    </r>
  </si>
  <si>
    <t xml:space="preserve">CAC plus  Retrofit ECM Incremental Cost per Ton ($2017) </t>
  </si>
  <si>
    <t>Labor Costs - Region Adjusted</t>
  </si>
  <si>
    <t>Lifecycle Retrofit/Early Replacement Incremental Cost Calculator (2017$)</t>
  </si>
  <si>
    <t>Lifecycle Retrofit/Early Replacement Incremental Cost (2017$)</t>
  </si>
  <si>
    <t>Labor Costs for Chillers - Region Adjusted</t>
  </si>
  <si>
    <t>Direct from Tables ($2015)</t>
  </si>
  <si>
    <t>With Regional Adjustment ($2015)</t>
  </si>
  <si>
    <t>With Regional Adjustment ($2017)</t>
  </si>
  <si>
    <t>Condensing Furnaces Time of Sale</t>
  </si>
  <si>
    <t>80% (Baseline)</t>
  </si>
  <si>
    <t xml:space="preserve">Incremental Costs </t>
  </si>
  <si>
    <t xml:space="preserve">Lifecycle Retrofit/Early Replacement </t>
  </si>
  <si>
    <t xml:space="preserve">Costs </t>
  </si>
  <si>
    <t xml:space="preserve">Example: 0.5 HP Permanent Split Capacitor </t>
  </si>
  <si>
    <t xml:space="preserve">Example: 0.5 HP Brushless Fan </t>
  </si>
  <si>
    <t>Recommended ($2017)</t>
  </si>
  <si>
    <t>Retrofit</t>
  </si>
  <si>
    <t>TOS @ $98.  Early replacement @ $287. See Efficienct_Fan_Motor.</t>
  </si>
  <si>
    <t xml:space="preserve">Current TRM value is based on a source that is more than a decade old. At $200, it is twice as high as Itron's current estimate for time of sale IMC ($98). Consider revising TRM TOS incremental cost to $98.  For retrofit baseline condition, consider using $287 for initial incremental cost.  </t>
  </si>
  <si>
    <t>Efficiency Level</t>
  </si>
  <si>
    <t xml:space="preserve">Incremental Costs - Time of Sale </t>
  </si>
  <si>
    <t xml:space="preserve">Efficient Criteria Based on TRM </t>
  </si>
  <si>
    <t>ENERGY STAR</t>
  </si>
  <si>
    <t>Itron MCS</t>
  </si>
  <si>
    <t>DEER</t>
  </si>
  <si>
    <t>Workpapers</t>
  </si>
  <si>
    <t>Model Results</t>
  </si>
  <si>
    <t>Model Validation</t>
  </si>
  <si>
    <t>Technology</t>
  </si>
  <si>
    <t>Variable</t>
  </si>
  <si>
    <t>Type</t>
  </si>
  <si>
    <t>Values</t>
  </si>
  <si>
    <t>Count</t>
  </si>
  <si>
    <t>Mean</t>
  </si>
  <si>
    <t>Std Dev</t>
  </si>
  <si>
    <t>Mean Price</t>
  </si>
  <si>
    <t>Std Dev Price</t>
  </si>
  <si>
    <t>Model Coefficients</t>
  </si>
  <si>
    <t>t-stat</t>
  </si>
  <si>
    <t>s.e.</t>
  </si>
  <si>
    <t>Weights for Roll-up to DEER/WP</t>
  </si>
  <si>
    <t>DEER/WP-equivalent Coefficients</t>
  </si>
  <si>
    <t>Data and Model Info</t>
  </si>
  <si>
    <t>Match Pair</t>
  </si>
  <si>
    <t>Description</t>
  </si>
  <si>
    <t>Modeled price</t>
  </si>
  <si>
    <t>Standard Error or MAE/mean</t>
  </si>
  <si>
    <t>Large-Sample Validation Summary/Additional Documentation Narratives</t>
  </si>
  <si>
    <t>Small-Sample Validation / Benchmarking Summary</t>
  </si>
  <si>
    <t>Matched Pair</t>
  </si>
  <si>
    <t>Actual price 1</t>
  </si>
  <si>
    <t>Actual price 2</t>
  </si>
  <si>
    <t>Actual price 3</t>
  </si>
  <si>
    <t>Actual price 4</t>
  </si>
  <si>
    <t>Actual price 5</t>
  </si>
  <si>
    <t>Actual price 6</t>
  </si>
  <si>
    <t>Actual price 7</t>
  </si>
  <si>
    <t>Actual price 8</t>
  </si>
  <si>
    <t>Actual price 9</t>
  </si>
  <si>
    <t>Actual price 10</t>
  </si>
  <si>
    <t>Actual price 11</t>
  </si>
  <si>
    <t>Actual price 12</t>
  </si>
  <si>
    <t>Actual price 13</t>
  </si>
  <si>
    <t>Actual price 14</t>
  </si>
  <si>
    <t>Actual price 15</t>
  </si>
  <si>
    <t>Actual price 16</t>
  </si>
  <si>
    <t>Actual price 17</t>
  </si>
  <si>
    <t>Actual price 18</t>
  </si>
  <si>
    <t>Actual price 19</t>
  </si>
  <si>
    <t>Actual price 20</t>
  </si>
  <si>
    <t>Actual price 21</t>
  </si>
  <si>
    <t>Actual price 22</t>
  </si>
  <si>
    <t>Actual price 23</t>
  </si>
  <si>
    <t>Actual price 24</t>
  </si>
  <si>
    <t>Actual price 25</t>
  </si>
  <si>
    <t>Appliances and Electronics</t>
  </si>
  <si>
    <t>Refrigerators 
(full size residential)</t>
  </si>
  <si>
    <t>Binary</t>
  </si>
  <si>
    <t>Yes</t>
  </si>
  <si>
    <t>Data Source</t>
  </si>
  <si>
    <t>Data Type</t>
  </si>
  <si>
    <t>DEER Measures</t>
  </si>
  <si>
    <t>Bottom Mount Freezer, Large, 573 rated kWh/yr</t>
  </si>
  <si>
    <t xml:space="preserve">* Plot is of the actual purchase price of 56,608 full-size refrigerators bought through </t>
  </si>
  <si>
    <t>Model Validation Summary Stats</t>
  </si>
  <si>
    <t>--</t>
  </si>
  <si>
    <t>NPD</t>
  </si>
  <si>
    <t>Point of sales</t>
  </si>
  <si>
    <t>Energy Star Bottom Mount Freezer without through-the-door ice - large (16.5-25 ft3 TV) - 487 kWh/yr</t>
  </si>
  <si>
    <t xml:space="preserve">the CA C4A program vs. Modeled price. Dotted line represents a perfect model fit (slope = 1). </t>
  </si>
  <si>
    <t>Capacity (Total volume ft3)</t>
  </si>
  <si>
    <t>Continuous</t>
  </si>
  <si>
    <t>7.8 - 31</t>
  </si>
  <si>
    <t>Discrete</t>
  </si>
  <si>
    <t>8 - 31</t>
  </si>
  <si>
    <t>&gt; 7.75</t>
  </si>
  <si>
    <t>Weighting</t>
  </si>
  <si>
    <t>% CA market</t>
  </si>
  <si>
    <t>Refrigerator: Bottom Mount Freezer, Small; 518 rated kWh/yr</t>
  </si>
  <si>
    <t>Standard Error</t>
  </si>
  <si>
    <t>Categorical</t>
  </si>
  <si>
    <t>Freezer on Bottom</t>
  </si>
  <si>
    <t>CA unit sales</t>
  </si>
  <si>
    <t>Energy Star(R) Refrigerator: Bottom Mount Freezer without through-the-door ice - small (8-16.5 ft3 TV) - 447 kWh/yr</t>
  </si>
  <si>
    <t>Median</t>
  </si>
  <si>
    <t>Freezer on Top</t>
  </si>
  <si>
    <t>N observations</t>
  </si>
  <si>
    <t>N unit sales</t>
  </si>
  <si>
    <t>Refrigerator: Side Mount Freezer, Large; 665 rated kWh/yr</t>
  </si>
  <si>
    <t>Mode</t>
  </si>
  <si>
    <t>French Doors</t>
  </si>
  <si>
    <t>Energy Star(R) Refrigerator: Side Mount Freezer without through-the-door ice - large (23-31ft3 TV) - 565 kWh/yr</t>
  </si>
  <si>
    <t>St. Dev.</t>
  </si>
  <si>
    <t>Side-by-Side</t>
  </si>
  <si>
    <t>R2</t>
  </si>
  <si>
    <t>Intercept</t>
  </si>
  <si>
    <t>Side Mount Freezer, Large, Ice Maker; 730 rated kWh/yr</t>
  </si>
  <si>
    <t>Sample Variance</t>
  </si>
  <si>
    <t>Quarter</t>
  </si>
  <si>
    <t xml:space="preserve">Energy Star Side Mount Freezer with through-the-door ice - large(23-31 ft3 TV) - 620 kWh/yr </t>
  </si>
  <si>
    <t>Kurtosis</t>
  </si>
  <si>
    <t>MAE</t>
  </si>
  <si>
    <t>Contr. Markup</t>
  </si>
  <si>
    <t>Refrigerator: 620 rated kWh/yr</t>
  </si>
  <si>
    <t>Skewness</t>
  </si>
  <si>
    <t>Energy Star(R) Refrigerator: Side Mount Freezer without through-the-door ice - medium (15-23 ft3 TV) - 528 kWh/yr</t>
  </si>
  <si>
    <t>Range</t>
  </si>
  <si>
    <t>Refrigerator: 639 rated kWh/yr</t>
  </si>
  <si>
    <t>Minimum</t>
  </si>
  <si>
    <t>Color</t>
  </si>
  <si>
    <t>White</t>
  </si>
  <si>
    <t>Energy Star(R) Refrigerator: Side Mount Freezer with through-the-door ice - medium (15-23 ft3 TV) - 543 kWh/yr</t>
  </si>
  <si>
    <t>Maximum</t>
  </si>
  <si>
    <t>Bisque</t>
  </si>
  <si>
    <t>Refrigerator: Top Mount Freezer, Large; 532 rated kWh/yr</t>
  </si>
  <si>
    <t>Sum</t>
  </si>
  <si>
    <t>Black</t>
  </si>
  <si>
    <t>Energy Star(R) Refrigerator: Top Mount Freezer without through-the-door ice - large (20-25 ft3 TV) - 452 kWh/yr</t>
  </si>
  <si>
    <t>Other</t>
  </si>
  <si>
    <t>Refrigerator: Top Mount Freezer, Medium; 469 rated kWh/yr</t>
  </si>
  <si>
    <t>Stainless</t>
  </si>
  <si>
    <t>Energy Star(R) Refrigerator: Top Mount Freezer without through-the-door ice - medium (15-20 ft3 TV) - 399 kWh/yr</t>
  </si>
  <si>
    <t>Stainless Look</t>
  </si>
  <si>
    <t>Top Mount Freezer, Small; 420 rated kWh/yr</t>
  </si>
  <si>
    <t>Dispenser</t>
  </si>
  <si>
    <t>Energy Star Top Mount Freezer without through-the-door ice - small (10-15 ft3 TV) - 357 kWh/yr</t>
  </si>
  <si>
    <t>kWh/yr</t>
  </si>
  <si>
    <t>253 - 728</t>
  </si>
  <si>
    <t>357 - 730</t>
  </si>
  <si>
    <t>CEE Tier 3</t>
  </si>
  <si>
    <t>Clothes Washers 
(side by side, top loading)</t>
  </si>
  <si>
    <t>Modified Energy Factor</t>
  </si>
  <si>
    <t>1.26-3.61</t>
  </si>
  <si>
    <t>&gt;=1.26</t>
  </si>
  <si>
    <t>Workpaper measures</t>
  </si>
  <si>
    <r>
      <t xml:space="preserve">Top-loading, Title 20 code minimum, MEF=1.26, </t>
    </r>
    <r>
      <rPr>
        <sz val="11"/>
        <color rgb="FFFF0000"/>
        <rFont val="Calibri"/>
        <family val="2"/>
        <scheme val="minor"/>
      </rPr>
      <t>assumed 3.5 ft3 capacity</t>
    </r>
  </si>
  <si>
    <t>-</t>
  </si>
  <si>
    <t>* Plot is of the actual purchase price of 17,662 top-loading clothes washers bought through</t>
  </si>
  <si>
    <t>Compartment Capacity</t>
  </si>
  <si>
    <t>2.5-4.7</t>
  </si>
  <si>
    <t>1.6-4.0</t>
  </si>
  <si>
    <r>
      <t xml:space="preserve">Top-loading, CEE Tier 1, MEF = 2.0, </t>
    </r>
    <r>
      <rPr>
        <sz val="11"/>
        <color rgb="FFFF0000"/>
        <rFont val="Calibri"/>
        <family val="2"/>
        <scheme val="minor"/>
      </rPr>
      <t>assumed 3.5 ft3 capacity</t>
    </r>
  </si>
  <si>
    <t>Soil Sensor</t>
  </si>
  <si>
    <r>
      <t xml:space="preserve">Top-loading, CEE Tier 2, MEF = 2.2, </t>
    </r>
    <r>
      <rPr>
        <sz val="11"/>
        <color rgb="FFFF0000"/>
        <rFont val="Calibri"/>
        <family val="2"/>
        <scheme val="minor"/>
      </rPr>
      <t>assumed 3.5 ft3 capacity</t>
    </r>
  </si>
  <si>
    <t>.</t>
  </si>
  <si>
    <r>
      <t xml:space="preserve">Top-loading, CEE Tier 3, MEF = 2.4, </t>
    </r>
    <r>
      <rPr>
        <sz val="11"/>
        <color rgb="FFFF0000"/>
        <rFont val="Calibri"/>
        <family val="2"/>
        <scheme val="minor"/>
      </rPr>
      <t>assumed 3.5 ft3 capacity</t>
    </r>
  </si>
  <si>
    <t>Not Specified</t>
  </si>
  <si>
    <r>
      <t xml:space="preserve">Top-loading, Title 20 code minimum, MEF=1.26, </t>
    </r>
    <r>
      <rPr>
        <sz val="11"/>
        <color rgb="FFFF0000"/>
        <rFont val="Calibri"/>
        <family val="2"/>
        <scheme val="minor"/>
      </rPr>
      <t>assumed 4.0 ft3 capacity</t>
    </r>
  </si>
  <si>
    <r>
      <t xml:space="preserve">Top-loading, CEE Tier 1, MEF = 2.0, </t>
    </r>
    <r>
      <rPr>
        <sz val="11"/>
        <color rgb="FFFF0000"/>
        <rFont val="Calibri"/>
        <family val="2"/>
        <scheme val="minor"/>
      </rPr>
      <t>assumed 4.0 ft3 capacity</t>
    </r>
  </si>
  <si>
    <t>Standard Deviation</t>
  </si>
  <si>
    <r>
      <t xml:space="preserve">Top-loading, CEE Tier 2, MEF = 2.2, </t>
    </r>
    <r>
      <rPr>
        <sz val="11"/>
        <color rgb="FFFF0000"/>
        <rFont val="Calibri"/>
        <family val="2"/>
        <scheme val="minor"/>
      </rPr>
      <t>assumed 4.0 ft3 capacity</t>
    </r>
  </si>
  <si>
    <r>
      <t xml:space="preserve">Top-loading, CEE Tier 3, MEF = 2.4, </t>
    </r>
    <r>
      <rPr>
        <sz val="11"/>
        <color rgb="FFFF0000"/>
        <rFont val="Calibri"/>
        <family val="2"/>
        <scheme val="minor"/>
      </rPr>
      <t>assumed 4.0 ft3 capacity</t>
    </r>
  </si>
  <si>
    <t>Electronic Controls</t>
  </si>
  <si>
    <t>Amana</t>
  </si>
  <si>
    <t>Estate</t>
  </si>
  <si>
    <t>Fisher &amp; Paykel</t>
  </si>
  <si>
    <t>GE</t>
  </si>
  <si>
    <t>Confidence Level(95.0%)</t>
  </si>
  <si>
    <t>Hotpoint</t>
  </si>
  <si>
    <t>LG Electronics</t>
  </si>
  <si>
    <t>Maytag</t>
  </si>
  <si>
    <t>Samsung</t>
  </si>
  <si>
    <t>Whirlpool</t>
  </si>
  <si>
    <t>Red</t>
  </si>
  <si>
    <t xml:space="preserve">Clothes Washers 
(stackable, front loading) </t>
  </si>
  <si>
    <t>1.8-3.88</t>
  </si>
  <si>
    <t>* Plot is of the actual purchase price of 18,688 front loading clothes washers bought through</t>
  </si>
  <si>
    <t>2-4.4</t>
  </si>
  <si>
    <r>
      <t>Front-loading, CEE Tier 1, MEF = 2.0,</t>
    </r>
    <r>
      <rPr>
        <sz val="11"/>
        <color rgb="FFFF0000"/>
        <rFont val="Calibri"/>
        <family val="2"/>
        <scheme val="minor"/>
      </rPr>
      <t xml:space="preserve"> assumed 3.5 ft3 capacity</t>
    </r>
  </si>
  <si>
    <t>Steam Feature</t>
  </si>
  <si>
    <r>
      <t xml:space="preserve">Front-loading, CEE Tier 2, MEF = 2.2, </t>
    </r>
    <r>
      <rPr>
        <sz val="11"/>
        <color rgb="FFFF0000"/>
        <rFont val="Calibri"/>
        <family val="2"/>
        <scheme val="minor"/>
      </rPr>
      <t>assumed 3.5 ft3 capacity</t>
    </r>
  </si>
  <si>
    <r>
      <t xml:space="preserve">Front-loading, CEE Tier 3, MEF = 2.4, </t>
    </r>
    <r>
      <rPr>
        <sz val="11"/>
        <color rgb="FFFF0000"/>
        <rFont val="Calibri"/>
        <family val="2"/>
        <scheme val="minor"/>
      </rPr>
      <t>assumed 3.5 ft3 capacity</t>
    </r>
  </si>
  <si>
    <t>Sensor Type</t>
  </si>
  <si>
    <t>Both Load and Soil</t>
  </si>
  <si>
    <t>Soil Only</t>
  </si>
  <si>
    <r>
      <t xml:space="preserve">Front-loading, CEE Tier 1, MEF = 2.0, </t>
    </r>
    <r>
      <rPr>
        <sz val="11"/>
        <color rgb="FFFF0000"/>
        <rFont val="Calibri"/>
        <family val="2"/>
        <scheme val="minor"/>
      </rPr>
      <t>assumed 4.0 ft3 capacity</t>
    </r>
  </si>
  <si>
    <t>Load Only</t>
  </si>
  <si>
    <r>
      <t xml:space="preserve">Front-loading, CEE Tier 2, MEF = 2.2, </t>
    </r>
    <r>
      <rPr>
        <sz val="11"/>
        <color rgb="FFFF0000"/>
        <rFont val="Calibri"/>
        <family val="2"/>
        <scheme val="minor"/>
      </rPr>
      <t>assumed 4.0 ft3 capacity</t>
    </r>
  </si>
  <si>
    <r>
      <t xml:space="preserve">Front-loading, CEE Tier 3, MEF = 2.4, </t>
    </r>
    <r>
      <rPr>
        <sz val="11"/>
        <color rgb="FFFF0000"/>
        <rFont val="Calibri"/>
        <family val="2"/>
        <scheme val="minor"/>
      </rPr>
      <t>assumed 4.0 ft3 capacity</t>
    </r>
  </si>
  <si>
    <t>No Sensor</t>
  </si>
  <si>
    <t>Bosch</t>
  </si>
  <si>
    <t>Electro Brand</t>
  </si>
  <si>
    <t>Electrolux</t>
  </si>
  <si>
    <t>Frigidaire</t>
  </si>
  <si>
    <t>RPMs</t>
  </si>
  <si>
    <t>720-1100</t>
  </si>
  <si>
    <t>&gt;1100</t>
  </si>
  <si>
    <t>Unspecified</t>
  </si>
  <si>
    <t>Blue</t>
  </si>
  <si>
    <t>Green</t>
  </si>
  <si>
    <t>Number of Wash Cycles</t>
  </si>
  <si>
    <t>3 to 11 cycles</t>
  </si>
  <si>
    <t>12 to 19 cycles</t>
  </si>
  <si>
    <t>20 or more cycles</t>
  </si>
  <si>
    <t>Workpaper measure</t>
  </si>
  <si>
    <t xml:space="preserve">Min </t>
  </si>
  <si>
    <t>Max</t>
  </si>
  <si>
    <t>Residential HVAC</t>
  </si>
  <si>
    <t xml:space="preserve">Room AC 
(cooling only, window units only)
</t>
  </si>
  <si>
    <t>Non-Energy Star with louvered sides 6,000 btuh 9.7 EER</t>
  </si>
  <si>
    <t xml:space="preserve">* Plot is of the actual purchase price of 399 RAC bought through the CA C4A program vs. </t>
  </si>
  <si>
    <t>Energy Star with louvered sides 6,000 btuh 10.7 EER</t>
  </si>
  <si>
    <t>Modeled price. Dotted line represents a perfect model fit (slope = 1).</t>
  </si>
  <si>
    <t>Capacity (btuh)</t>
  </si>
  <si>
    <t>5,500 - 29,000</t>
  </si>
  <si>
    <t>Not specified</t>
  </si>
  <si>
    <t>Non-Energy Star without louvered sides 6,000 btuh 9.0 EER</t>
  </si>
  <si>
    <t>Chassis type</t>
  </si>
  <si>
    <t>Energy Star without louvered sides 6,000 btuh 9.9 EER</t>
  </si>
  <si>
    <t>Fixed</t>
  </si>
  <si>
    <t>Non-Energy Star with louvered sides 8,000 btuh 9.8 EER</t>
  </si>
  <si>
    <t>Slide-out</t>
  </si>
  <si>
    <t>Energy Star with louvered sides 8,000 btuh 10.8 EER</t>
  </si>
  <si>
    <t>Non-Energy Star with louvered sides 14,000 btuh 9.7 EER</t>
  </si>
  <si>
    <t>Energy Star with louvered sides 14,000 btuh 10.7 EER</t>
  </si>
  <si>
    <t>Non-Energy Star with louvered sides 20,000 btuh 8.5 EER</t>
  </si>
  <si>
    <t>Energy Star with louvered sides 20,000 btuh 9.4 EER</t>
  </si>
  <si>
    <t>Air direction control</t>
  </si>
  <si>
    <t>2-way</t>
  </si>
  <si>
    <t>4-way</t>
  </si>
  <si>
    <t>8-way</t>
  </si>
  <si>
    <t>8.7 - 11</t>
  </si>
  <si>
    <t>Louvered sides</t>
  </si>
  <si>
    <t>Whole House Fans</t>
  </si>
  <si>
    <t>CFM</t>
  </si>
  <si>
    <t>600-6418</t>
  </si>
  <si>
    <t>Example Measures</t>
  </si>
  <si>
    <t>Absense of whole house fan</t>
  </si>
  <si>
    <t>Whole houe fan 2500 CFM, 1 fan, industrial grade</t>
  </si>
  <si>
    <t>Number of fans</t>
  </si>
  <si>
    <t>1,2,4</t>
  </si>
  <si>
    <t>DEG</t>
  </si>
  <si>
    <t>Distributor prices</t>
  </si>
  <si>
    <t>Whole houe fan 1600 CFM, 1 fan</t>
  </si>
  <si>
    <t>Industrial grade</t>
  </si>
  <si>
    <t>Whole houe fan 2500 CFM, 1 fan</t>
  </si>
  <si>
    <t>no</t>
  </si>
  <si>
    <t>Unknown</t>
  </si>
  <si>
    <t>Whole houe fan 4500 CFM, 1 fan</t>
  </si>
  <si>
    <t>(Do not delete these rows; see cells at right)</t>
  </si>
  <si>
    <t>Whole houe fan 1150 CFM, 2 fans</t>
  </si>
  <si>
    <t>Diff (Modeled-Actual)</t>
  </si>
  <si>
    <t>Gas Furnaces 
(residential)</t>
  </si>
  <si>
    <t>0.78-0.96</t>
  </si>
  <si>
    <t>0.78 - 0.98</t>
  </si>
  <si>
    <r>
      <t xml:space="preserve">78 AFUE (1.242 HIR) Furnace </t>
    </r>
    <r>
      <rPr>
        <sz val="11"/>
        <color rgb="FFFF0000"/>
        <rFont val="Calibri"/>
        <family val="2"/>
        <scheme val="minor"/>
      </rPr>
      <t>assumed 60 kBtuh capacity without variable speed blower</t>
    </r>
  </si>
  <si>
    <r>
      <t>Furnace AFUE 80 -</t>
    </r>
    <r>
      <rPr>
        <sz val="11"/>
        <color rgb="FFFF0000"/>
        <rFont val="Calibri"/>
        <family val="2"/>
        <scheme val="minor"/>
      </rPr>
      <t xml:space="preserve"> assumed 60 kBtuh capacity without variable speed blower</t>
    </r>
  </si>
  <si>
    <t>Capacity (Btuh)</t>
  </si>
  <si>
    <t>32,000-155,000</t>
  </si>
  <si>
    <r>
      <t xml:space="preserve">Furnace Upgrade to 81% AFUE </t>
    </r>
    <r>
      <rPr>
        <sz val="11"/>
        <color rgb="FFFF0000"/>
        <rFont val="Calibri"/>
        <family val="2"/>
        <scheme val="minor"/>
      </rPr>
      <t>assumed 60 kBtuh capacity without variable speed blower</t>
    </r>
  </si>
  <si>
    <r>
      <t xml:space="preserve">High Efficiency Furnace 90 AFUE(1.11 HIR) - </t>
    </r>
    <r>
      <rPr>
        <sz val="11"/>
        <color rgb="FFFF0000"/>
        <rFont val="Calibri"/>
        <family val="2"/>
        <scheme val="minor"/>
      </rPr>
      <t>assumed 60 kBtuh capacity without variable speed blower</t>
    </r>
  </si>
  <si>
    <t>Variable Speed Blower</t>
  </si>
  <si>
    <t>with variable speed</t>
  </si>
  <si>
    <r>
      <t xml:space="preserve">78 AFUE (1.242 HIR) Furnace </t>
    </r>
    <r>
      <rPr>
        <sz val="11"/>
        <color rgb="FFFF0000"/>
        <rFont val="Calibri"/>
        <family val="2"/>
        <scheme val="minor"/>
      </rPr>
      <t>assumed 90 kBtuh capacity without variable speed blower</t>
    </r>
  </si>
  <si>
    <r>
      <t>Furnace AFUE 80 -</t>
    </r>
    <r>
      <rPr>
        <sz val="11"/>
        <color rgb="FFFF0000"/>
        <rFont val="Calibri"/>
        <family val="2"/>
        <scheme val="minor"/>
      </rPr>
      <t xml:space="preserve"> assumed 90 kBtuh capacity without variable speed blower</t>
    </r>
  </si>
  <si>
    <t>w/o variable speed</t>
  </si>
  <si>
    <t>CLASS</t>
  </si>
  <si>
    <r>
      <t xml:space="preserve">High Efficiency Furnace 90 AFUE(1.11 HIR) </t>
    </r>
    <r>
      <rPr>
        <sz val="11"/>
        <color rgb="FFFF0000"/>
        <rFont val="Calibri"/>
        <family val="2"/>
        <scheme val="minor"/>
      </rPr>
      <t>assumed 90 kBtuh capacity without variable speed blower</t>
    </r>
  </si>
  <si>
    <r>
      <t>Efficient Residential Gas Furnace - AFUE 92 -</t>
    </r>
    <r>
      <rPr>
        <sz val="11"/>
        <color rgb="FFFF0000"/>
        <rFont val="Calibri"/>
        <family val="2"/>
        <scheme val="minor"/>
      </rPr>
      <t xml:space="preserve"> assumed 90 kBtuh capacity without variable speed blower</t>
    </r>
  </si>
  <si>
    <t>Manufacturer</t>
  </si>
  <si>
    <t>Bryant</t>
  </si>
  <si>
    <r>
      <t xml:space="preserve">78 AFUE (1.242 HIR) Furnace </t>
    </r>
    <r>
      <rPr>
        <sz val="11"/>
        <color rgb="FFFF0000"/>
        <rFont val="Calibri"/>
        <family val="2"/>
        <scheme val="minor"/>
      </rPr>
      <t>assumed 120 kBtuh capacity without variable speed blower</t>
    </r>
  </si>
  <si>
    <r>
      <t xml:space="preserve">Furnace AFUE 80 - </t>
    </r>
    <r>
      <rPr>
        <sz val="11"/>
        <color rgb="FFFF0000"/>
        <rFont val="Calibri"/>
        <family val="2"/>
        <scheme val="minor"/>
      </rPr>
      <t>assumed 120 kBtuh capacity without variable speed blower</t>
    </r>
  </si>
  <si>
    <t>Day and Night</t>
  </si>
  <si>
    <r>
      <t xml:space="preserve">High Efficiency Furnace 92 AFUE(1.08 HIR) </t>
    </r>
    <r>
      <rPr>
        <sz val="11"/>
        <color rgb="FFFF0000"/>
        <rFont val="Calibri"/>
        <family val="2"/>
        <scheme val="minor"/>
      </rPr>
      <t>assumed 120 kBtuh capacity without variable speed blower</t>
    </r>
  </si>
  <si>
    <r>
      <t xml:space="preserve">Efficient Residential Gas Furnace - AFUE 93 - </t>
    </r>
    <r>
      <rPr>
        <sz val="11"/>
        <color rgb="FFFF0000"/>
        <rFont val="Calibri"/>
        <family val="2"/>
        <scheme val="minor"/>
      </rPr>
      <t>assumed 120 kBtuh capacity without variable speed blower</t>
    </r>
  </si>
  <si>
    <t>Goodman</t>
  </si>
  <si>
    <r>
      <t xml:space="preserve">Furnace AFUE 80 - </t>
    </r>
    <r>
      <rPr>
        <sz val="11"/>
        <color rgb="FFFF0000"/>
        <rFont val="Calibri"/>
        <family val="2"/>
        <scheme val="minor"/>
      </rPr>
      <t>assumed 90 kBtuh capacity without variable speed blower</t>
    </r>
  </si>
  <si>
    <t>Ruud</t>
  </si>
  <si>
    <r>
      <t xml:space="preserve">High Efficiency Furnace 94 AFUE(1.06 HIR) </t>
    </r>
    <r>
      <rPr>
        <sz val="11"/>
        <color rgb="FFFF0000"/>
        <rFont val="Calibri"/>
        <family val="2"/>
        <scheme val="minor"/>
      </rPr>
      <t>assumed 90 kBtuh capacity with variable speed blower</t>
    </r>
  </si>
  <si>
    <r>
      <t xml:space="preserve">Efficient Residential Gas Furnace - AFUE 95 - </t>
    </r>
    <r>
      <rPr>
        <sz val="11"/>
        <color rgb="FFFF0000"/>
        <rFont val="Calibri"/>
        <family val="2"/>
        <scheme val="minor"/>
      </rPr>
      <t>assumed 90 kBtuh capacity with variable speed blower</t>
    </r>
  </si>
  <si>
    <r>
      <t xml:space="preserve">78 AFUE (1.242 HIR) Furnace </t>
    </r>
    <r>
      <rPr>
        <sz val="11"/>
        <color rgb="FFFF0000"/>
        <rFont val="Calibri"/>
        <family val="2"/>
        <scheme val="minor"/>
      </rPr>
      <t>assumed 100 kBtuh capacity without variable speed blower</t>
    </r>
  </si>
  <si>
    <r>
      <t xml:space="preserve">Furnace AFUE 80 - </t>
    </r>
    <r>
      <rPr>
        <sz val="11"/>
        <color rgb="FFFF0000"/>
        <rFont val="Calibri"/>
        <family val="2"/>
        <scheme val="minor"/>
      </rPr>
      <t>assumed 100 kBtuh capacity without variable speed blower</t>
    </r>
  </si>
  <si>
    <r>
      <t xml:space="preserve">High Efficiency Furnace 96 AFUE(1.03 HIR) </t>
    </r>
    <r>
      <rPr>
        <sz val="11"/>
        <color rgb="FFFF0000"/>
        <rFont val="Calibri"/>
        <family val="2"/>
        <scheme val="minor"/>
      </rPr>
      <t>assumed 100 kBtuh capacity with variable speed blower</t>
    </r>
  </si>
  <si>
    <r>
      <t>Efficient Residential Gas Furnace - AFUE 96 -</t>
    </r>
    <r>
      <rPr>
        <sz val="11"/>
        <color rgb="FFFF0000"/>
        <rFont val="Calibri"/>
        <family val="2"/>
        <scheme val="minor"/>
      </rPr>
      <t xml:space="preserve"> assumed 100 kBtuh capacity with variable speed blower</t>
    </r>
  </si>
  <si>
    <t>Split-System HP 
(residential and commerical)</t>
  </si>
  <si>
    <t>17400-59000</t>
  </si>
  <si>
    <t>&lt; 55 kBtuh
55 - 64 kBtuh</t>
  </si>
  <si>
    <r>
      <t xml:space="preserve">13 SEER(11.07 EER) / 8.1 HSPF(3.28 COP) A/C Heat pump </t>
    </r>
    <r>
      <rPr>
        <sz val="11"/>
        <color rgb="FFFF0000"/>
        <rFont val="Calibri"/>
        <family val="2"/>
        <scheme val="minor"/>
      </rPr>
      <t>assumed 36 kBtuh capacity</t>
    </r>
  </si>
  <si>
    <t>36 kBtuh 12.5 SEER Split Heat pump</t>
  </si>
  <si>
    <t>13-20.5</t>
  </si>
  <si>
    <t>13 - 16</t>
  </si>
  <si>
    <t xml:space="preserve">DEG/EMCOR </t>
  </si>
  <si>
    <t>Distributor Prices</t>
  </si>
  <si>
    <t>Carrier</t>
  </si>
  <si>
    <r>
      <t xml:space="preserve">14 SEER(12.19 EER) / 8.6 HSPF(3.52 COP) A/C Heat Pump </t>
    </r>
    <r>
      <rPr>
        <sz val="11"/>
        <color rgb="FFFF0000"/>
        <rFont val="Calibri"/>
        <family val="2"/>
        <scheme val="minor"/>
      </rPr>
      <t>assumed 36 kBtuh capacity</t>
    </r>
  </si>
  <si>
    <t>Day &amp; Night</t>
  </si>
  <si>
    <t>CMST</t>
  </si>
  <si>
    <r>
      <t xml:space="preserve">15 SEER(12.70 EER) / 8.8 HSPF(3.74 COP) A/C Heat Pump </t>
    </r>
    <r>
      <rPr>
        <sz val="11"/>
        <color rgb="FFFF0000"/>
        <rFont val="Calibri"/>
        <family val="2"/>
        <scheme val="minor"/>
      </rPr>
      <t>assumed 36 kBtuh capacity</t>
    </r>
  </si>
  <si>
    <r>
      <t xml:space="preserve">16 SEER (12.06 EER) / 8.4 HSPF (3.48 COP) A/C Heat Pump </t>
    </r>
    <r>
      <rPr>
        <sz val="11"/>
        <color rgb="FFFF0000"/>
        <rFont val="Calibri"/>
        <family val="2"/>
        <scheme val="minor"/>
      </rPr>
      <t>assumed 36 kBtuh capacity</t>
    </r>
  </si>
  <si>
    <r>
      <t xml:space="preserve">Split HP SEER = 13.0 </t>
    </r>
    <r>
      <rPr>
        <sz val="11"/>
        <color rgb="FFFF0000"/>
        <rFont val="Calibri"/>
        <family val="2"/>
        <scheme val="minor"/>
      </rPr>
      <t>assumed 18 kBtuh capacity</t>
    </r>
  </si>
  <si>
    <t>HSPF</t>
  </si>
  <si>
    <t>7.7 - 9</t>
  </si>
  <si>
    <r>
      <t xml:space="preserve">Split HP SEER = 14.0 (&lt; 55 kBTUh) - Combined SEER 13 and SEER 14.5 hp </t>
    </r>
    <r>
      <rPr>
        <sz val="11"/>
        <color rgb="FFFF0000"/>
        <rFont val="Calibri"/>
        <family val="2"/>
        <scheme val="minor"/>
      </rPr>
      <t>assumed 18 kBtuh capacity</t>
    </r>
  </si>
  <si>
    <t>11.07 - 12.5</t>
  </si>
  <si>
    <r>
      <t xml:space="preserve">Split HP SEER = 13.0 (&lt; 55 kbtuh), EER = 11.07, HSPF = 7.7, COP = 3.28; no Econo;  1-spd Fan </t>
    </r>
    <r>
      <rPr>
        <sz val="11"/>
        <color rgb="FFFF0000"/>
        <rFont val="Calibri"/>
        <family val="2"/>
        <scheme val="minor"/>
      </rPr>
      <t>assumed 24 kBtuh capacity</t>
    </r>
  </si>
  <si>
    <r>
      <t xml:space="preserve">Split HP SEER = 13.0 (&lt; 55 kbtuh), EER = 11.07, HSPF = 7.70, COP = 3.28; no Econo;  1-spd Fan </t>
    </r>
    <r>
      <rPr>
        <sz val="11"/>
        <color rgb="FFFF0000"/>
        <rFont val="Calibri"/>
        <family val="2"/>
        <scheme val="minor"/>
      </rPr>
      <t>assumed 24 kBtuh capacity</t>
    </r>
  </si>
  <si>
    <r>
      <t xml:space="preserve">Split HP SEER = 14.0 (&lt; 55 kbtuh), EER = 12.00, HSPF = 8.50, COP = 3.74; no Econo;  1-spd Fan </t>
    </r>
    <r>
      <rPr>
        <sz val="11"/>
        <color rgb="FFFF0000"/>
        <rFont val="Calibri"/>
        <family val="2"/>
        <scheme val="minor"/>
      </rPr>
      <t>assumed 24 kBtuh capacity</t>
    </r>
  </si>
  <si>
    <r>
      <t xml:space="preserve">Split HP SEER = 15.0 (&lt; 55 kBtuh), EER = 12.5, HSPF = 9.00, COP = 3.96; no Econo;  1-spd Fan </t>
    </r>
    <r>
      <rPr>
        <sz val="11"/>
        <color rgb="FFFF0000"/>
        <rFont val="Calibri"/>
        <family val="2"/>
        <scheme val="minor"/>
      </rPr>
      <t>assumed 24 kBtuh capacity</t>
    </r>
  </si>
  <si>
    <r>
      <t xml:space="preserve">Split HP SEER = 13.0 </t>
    </r>
    <r>
      <rPr>
        <sz val="11"/>
        <color rgb="FFFF0000"/>
        <rFont val="Calibri"/>
        <family val="2"/>
        <scheme val="minor"/>
      </rPr>
      <t>assumed 60 kBtuh capacity</t>
    </r>
  </si>
  <si>
    <r>
      <t xml:space="preserve">Split HP SEER = 14.0 (55-64 kBTUh) - Combined SEER 13 and SEER 14.5 hp </t>
    </r>
    <r>
      <rPr>
        <sz val="11"/>
        <color rgb="FFFF0000"/>
        <rFont val="Calibri"/>
        <family val="2"/>
        <scheme val="minor"/>
      </rPr>
      <t>assumed 60 kBtuh capacity</t>
    </r>
  </si>
  <si>
    <r>
      <t xml:space="preserve">Split HP SEER = 13.0 (55-64 kbtuh), EER = 11.07, HSPF = 7.7, COP = 3.28; w/Econo;  2-spd Fan </t>
    </r>
    <r>
      <rPr>
        <sz val="11"/>
        <color rgb="FFFF0000"/>
        <rFont val="Calibri"/>
        <family val="2"/>
        <scheme val="minor"/>
      </rPr>
      <t>assumed 60 kBtuh capacity</t>
    </r>
  </si>
  <si>
    <r>
      <t xml:space="preserve">Split HP SEER = 13.0 (55-64 kbtuh), EER = 11.07, HSPF = 7.70, COP = 3.28; w/Econo;  2-spd Fan </t>
    </r>
    <r>
      <rPr>
        <sz val="11"/>
        <color rgb="FFFF0000"/>
        <rFont val="Calibri"/>
        <family val="2"/>
        <scheme val="minor"/>
      </rPr>
      <t>assumed 60 kBtuh capacity</t>
    </r>
  </si>
  <si>
    <r>
      <t xml:space="preserve">Split HP SEER = 14.0 (55-64 kbtuh), EER = 12.00, HSPF = 8.50, COP = 3.74; w/Econo;  2-spd Fan </t>
    </r>
    <r>
      <rPr>
        <sz val="11"/>
        <color rgb="FFFF0000"/>
        <rFont val="Calibri"/>
        <family val="2"/>
        <scheme val="minor"/>
      </rPr>
      <t>assumed 60 kBtuh capacity</t>
    </r>
  </si>
  <si>
    <r>
      <t xml:space="preserve">Split HP SEER = 15.0 (55-64 kBTUh), EER = 12.5, HSPF = 9.00, COP = 3.96; w/Econo;  2-spd Fan </t>
    </r>
    <r>
      <rPr>
        <sz val="11"/>
        <color rgb="FFFF0000"/>
        <rFont val="Calibri"/>
        <family val="2"/>
        <scheme val="minor"/>
      </rPr>
      <t>assumed 60 kBtuh capacity</t>
    </r>
  </si>
  <si>
    <t>Split-System DX 
(residential and commerical)</t>
  </si>
  <si>
    <t>17000-58000</t>
  </si>
  <si>
    <r>
      <t xml:space="preserve">13 SEER (11.09 EER) Split System Air Conditioner </t>
    </r>
    <r>
      <rPr>
        <sz val="11"/>
        <color rgb="FFFF0000"/>
        <rFont val="Calibri"/>
        <family val="2"/>
        <scheme val="minor"/>
      </rPr>
      <t>assumed 36 kBtuh capacity</t>
    </r>
  </si>
  <si>
    <t>36 kBtuh 12.5 SEER Split DX</t>
  </si>
  <si>
    <t>13-18.5</t>
  </si>
  <si>
    <t>13 - 21</t>
  </si>
  <si>
    <r>
      <t>13 SEER(11.09 EER) Split System Air Conditioner</t>
    </r>
    <r>
      <rPr>
        <sz val="11"/>
        <color rgb="FFFF0000"/>
        <rFont val="Calibri"/>
        <family val="2"/>
        <scheme val="minor"/>
      </rPr>
      <t xml:space="preserve"> assumed 36 kBtuh capacity</t>
    </r>
  </si>
  <si>
    <r>
      <t xml:space="preserve">14 SEER(12.15 EER) Split-System Air Conditioner </t>
    </r>
    <r>
      <rPr>
        <sz val="11"/>
        <color rgb="FFFF0000"/>
        <rFont val="Calibri"/>
        <family val="2"/>
        <scheme val="minor"/>
      </rPr>
      <t>assumed 36 kBtuh capacity</t>
    </r>
  </si>
  <si>
    <r>
      <t xml:space="preserve">15 SEER(12.72 EER) Split-System Air Conditioner </t>
    </r>
    <r>
      <rPr>
        <sz val="11"/>
        <color rgb="FFFF0000"/>
        <rFont val="Calibri"/>
        <family val="2"/>
        <scheme val="minor"/>
      </rPr>
      <t>assumed 36 kBtuh capacity</t>
    </r>
  </si>
  <si>
    <r>
      <t xml:space="preserve">16 SEER (11.61 EER) Split System Air Conditioner </t>
    </r>
    <r>
      <rPr>
        <sz val="11"/>
        <color rgb="FFFF0000"/>
        <rFont val="Calibri"/>
        <family val="2"/>
        <scheme val="minor"/>
      </rPr>
      <t>assumed 36 kBtuh capacity</t>
    </r>
  </si>
  <si>
    <t>Clg EIR</t>
  </si>
  <si>
    <t>0.2456 - 0.2557</t>
  </si>
  <si>
    <r>
      <t xml:space="preserve">17 SEER (12.28 EER) Split-System Air Conditioner </t>
    </r>
    <r>
      <rPr>
        <sz val="11"/>
        <color rgb="FFFF0000"/>
        <rFont val="Calibri"/>
        <family val="2"/>
        <scheme val="minor"/>
      </rPr>
      <t>assumed 36 kBtuh capacity</t>
    </r>
  </si>
  <si>
    <t>Supply fan W/cfm</t>
  </si>
  <si>
    <t>0.306 - 0.379</t>
  </si>
  <si>
    <r>
      <t xml:space="preserve">18 SEER (13.37 EER) Split-System Air Conditioner </t>
    </r>
    <r>
      <rPr>
        <sz val="11"/>
        <color rgb="FFFF0000"/>
        <rFont val="Calibri"/>
        <family val="2"/>
        <scheme val="minor"/>
      </rPr>
      <t>assumed 36 kBtuh capacity</t>
    </r>
  </si>
  <si>
    <t>Fan speeds</t>
  </si>
  <si>
    <t>1 - speed
2 - speed</t>
  </si>
  <si>
    <r>
      <t xml:space="preserve">19 SEER (13.82 EER) Split-System Air Conditioner </t>
    </r>
    <r>
      <rPr>
        <sz val="11"/>
        <color rgb="FFFF0000"/>
        <rFont val="Calibri"/>
        <family val="2"/>
        <scheme val="minor"/>
      </rPr>
      <t>assumed 36 kBtuh capacity</t>
    </r>
  </si>
  <si>
    <r>
      <t>20 SEER (14.43 EER) Split-System Air Conditioner</t>
    </r>
    <r>
      <rPr>
        <sz val="11"/>
        <color rgb="FFFF0000"/>
        <rFont val="Calibri"/>
        <family val="2"/>
        <scheme val="minor"/>
      </rPr>
      <t xml:space="preserve"> assumed 36 kBtuh capacity</t>
    </r>
  </si>
  <si>
    <r>
      <t xml:space="preserve">21 SEER (15.03 EER) Split-System Air Conditioner </t>
    </r>
    <r>
      <rPr>
        <sz val="11"/>
        <color rgb="FFFF0000"/>
        <rFont val="Calibri"/>
        <family val="2"/>
        <scheme val="minor"/>
      </rPr>
      <t>assumed 36 kBtuh capacity</t>
    </r>
  </si>
  <si>
    <r>
      <t xml:space="preserve">Split AC SEER = 13.0 (&lt; 55 kBtuh), EER = 11.06, Clg EIR = 0.2557, Supply Fan W/cfm = 0.379; no Econo;  1-spd Fan </t>
    </r>
    <r>
      <rPr>
        <sz val="11"/>
        <color rgb="FFFF0000"/>
        <rFont val="Calibri"/>
        <family val="2"/>
        <scheme val="minor"/>
      </rPr>
      <t>assumed 24 kBtuh capacity</t>
    </r>
  </si>
  <si>
    <r>
      <t xml:space="preserve">Split AC SEER = 14.0 (&lt; 55 kBtuh), EER = 12.04, Clg EIR = 0.2456, Supply Fan W/cfm = 0.306; no Econo;  1-spd Fan </t>
    </r>
    <r>
      <rPr>
        <sz val="11"/>
        <color rgb="FFFF0000"/>
        <rFont val="Calibri"/>
        <family val="2"/>
        <scheme val="minor"/>
      </rPr>
      <t>assumed 24 kBtuh capacity</t>
    </r>
  </si>
  <si>
    <r>
      <t xml:space="preserve">Split AC SEER = 13.0 (55-64 kBtuh), EER = 11.06, Clg EIR = 0.2557, Supply Fan W/cfm = 0.379; no Econo;  2-spd Fan </t>
    </r>
    <r>
      <rPr>
        <sz val="11"/>
        <color rgb="FFFF0000"/>
        <rFont val="Calibri"/>
        <family val="2"/>
        <scheme val="minor"/>
      </rPr>
      <t>assumed 60 kBtuh capacity</t>
    </r>
  </si>
  <si>
    <r>
      <t xml:space="preserve">Split AC SEER = 14.0 (55-64 kBtuh), EER = 12.04, Clg EIR = 0.2456, Supply Fan W/cfm = 0.306; no Econo;  2-spd Fan </t>
    </r>
    <r>
      <rPr>
        <sz val="11"/>
        <color rgb="FFFF0000"/>
        <rFont val="Calibri"/>
        <family val="2"/>
        <scheme val="minor"/>
      </rPr>
      <t>assumed 60 kBtuh capacity</t>
    </r>
  </si>
  <si>
    <t>Residential HVAC Fan Motors</t>
  </si>
  <si>
    <t>Motor Type</t>
  </si>
  <si>
    <t>PSC</t>
  </si>
  <si>
    <t>0.5 HP Permanent Split Capacitor Motor</t>
  </si>
  <si>
    <t>High-efficiency PSC</t>
  </si>
  <si>
    <t>High Eff</t>
  </si>
  <si>
    <t>0.5 HP Brushless Fan Motor</t>
  </si>
  <si>
    <t>ECM/X13</t>
  </si>
  <si>
    <t>Brushless</t>
  </si>
  <si>
    <t>Horsepower</t>
  </si>
  <si>
    <t>0.167-1 (1/6 - 1 hp)</t>
  </si>
  <si>
    <t>0.5 hp</t>
  </si>
  <si>
    <t>Reverisble</t>
  </si>
  <si>
    <t>Input Voltage &gt; 230</t>
  </si>
  <si>
    <t>Number of Speeds</t>
  </si>
  <si>
    <t>1-5</t>
  </si>
  <si>
    <t>Non-Residential HVAC</t>
  </si>
  <si>
    <t xml:space="preserve">Fan VFDs 
(&gt;10hp)
</t>
  </si>
  <si>
    <t>Size (horsepower)</t>
  </si>
  <si>
    <t>1 -100</t>
  </si>
  <si>
    <t>1-100</t>
  </si>
  <si>
    <t>Absence of VFD.  Baseline is throttling valves, inlet vanes and fan dampers</t>
  </si>
  <si>
    <t>ABB</t>
  </si>
  <si>
    <t>EMCOR</t>
  </si>
  <si>
    <t>VFD Supply Fan Motors (20hp, nema 12 enclosure,no bypass)</t>
  </si>
  <si>
    <t>Siemens</t>
  </si>
  <si>
    <t>VFD Supply Fan Motors (30hp, nema 1 enclosure,no bypass)</t>
  </si>
  <si>
    <t>Bypass</t>
  </si>
  <si>
    <t>VFD Supply Fan Motors (40hp, nema 3 enclosure, with bypass)</t>
  </si>
  <si>
    <t>VFD Supply Fan Motors (60hp, nema 12 enclosure, no bypass)</t>
  </si>
  <si>
    <t>NEMA enclosure type</t>
  </si>
  <si>
    <t>3r</t>
  </si>
  <si>
    <t>VFD Supply Fan Motors (75hp, nema 12 enclosure,no bypass)</t>
  </si>
  <si>
    <t>VFD Supply Fan Motors (100hp, nema 1 enclosure,no bypass)</t>
  </si>
  <si>
    <t>VFD Supply Fan Motors (50hp, nema 1 enclosure,no bypass)</t>
  </si>
  <si>
    <t xml:space="preserve">Fan VFDs 
(&lt;= 10hp)
</t>
  </si>
  <si>
    <t>VFD Supply Fan Motors (Siemens,1.5hp, nema 12 enclosure,no bypass)</t>
  </si>
  <si>
    <t>VFD Supply Fan Motors (1.5hp, nema 12 enclosure,no bypass)</t>
  </si>
  <si>
    <t>VFD Supply Fan Motors (Siemens,5hp, nema 1 enclosure,no bypass)</t>
  </si>
  <si>
    <t>VFD Supply Fan Motors (5hp, nema 1 enclosure,no bypass)</t>
  </si>
  <si>
    <t>VFD Supply Fan Motors (Siemens,10hp, nema 1 enclosure, no bypass)</t>
  </si>
  <si>
    <t>VFD Supply Fan Motors (10hp, nema 1 enclosure, no bypass)</t>
  </si>
  <si>
    <t>VFD Supply Fan Motors (Siemens,10hp, nema 3r enclosure,no bypass)</t>
  </si>
  <si>
    <t>VFD Supply Fan Motors (10hp, nema 3r enclosure,no bypass)</t>
  </si>
  <si>
    <t>500 volts</t>
  </si>
  <si>
    <t>%Diff (Modeled-Actual)/Actual</t>
  </si>
  <si>
    <t>Trane</t>
  </si>
  <si>
    <t>DEG/EMCOR</t>
  </si>
  <si>
    <t xml:space="preserve">EMCOR </t>
  </si>
  <si>
    <t>13 - 17</t>
  </si>
  <si>
    <t>12 - 14</t>
  </si>
  <si>
    <r>
      <t xml:space="preserve">Pkg AC SEER = </t>
    </r>
    <r>
      <rPr>
        <sz val="11"/>
        <rFont val="Calibri"/>
        <family val="2"/>
        <scheme val="minor"/>
      </rPr>
      <t>13.00;</t>
    </r>
    <r>
      <rPr>
        <sz val="11"/>
        <color theme="1"/>
        <rFont val="Calibri"/>
        <family val="2"/>
        <scheme val="minor"/>
      </rPr>
      <t xml:space="preserve"> EER = 11.06; Clg EIR = 0.256; Supply Fan W/cfm = 0.379; no econo </t>
    </r>
    <r>
      <rPr>
        <sz val="11"/>
        <color rgb="FFFF0000"/>
        <rFont val="Calibri"/>
        <family val="2"/>
        <scheme val="minor"/>
      </rPr>
      <t>assumed 2 ton</t>
    </r>
  </si>
  <si>
    <t>24,000-60,000</t>
  </si>
  <si>
    <t>&lt; 65,000</t>
  </si>
  <si>
    <r>
      <t xml:space="preserve">Pkg AC SEER = </t>
    </r>
    <r>
      <rPr>
        <sz val="11"/>
        <color rgb="FFFF0000"/>
        <rFont val="Calibri"/>
        <family val="2"/>
        <scheme val="minor"/>
      </rPr>
      <t>14.0</t>
    </r>
    <r>
      <rPr>
        <sz val="11"/>
        <color theme="1"/>
        <rFont val="Calibri"/>
        <family val="2"/>
        <scheme val="minor"/>
      </rPr>
      <t xml:space="preserve"> (&lt; 65 kBtuh), EER = 11.06, Clg EIR = 0.2557, Supply Fan W/cfm = 0.379 </t>
    </r>
    <r>
      <rPr>
        <sz val="11"/>
        <color rgb="FFFF0000"/>
        <rFont val="Calibri"/>
        <family val="2"/>
        <scheme val="minor"/>
      </rPr>
      <t>assumed 2 ton</t>
    </r>
  </si>
  <si>
    <t>Phase</t>
  </si>
  <si>
    <r>
      <t xml:space="preserve">Pkg AC SEER = 13.00; EER = 11.06; Clg EIR = 0.256; Supply Fan W/cfm = 0.379; no econo </t>
    </r>
    <r>
      <rPr>
        <sz val="11"/>
        <color rgb="FFFF0000"/>
        <rFont val="Calibri"/>
        <family val="2"/>
        <scheme val="minor"/>
      </rPr>
      <t>assumed 5 ton</t>
    </r>
  </si>
  <si>
    <r>
      <t xml:space="preserve">Pkg AC SEER = 14.0 (&lt; 65 kBtuh), EER = 12.04, Clg EIR = 0.2456, Supply Fan W/cfm = 0.306 </t>
    </r>
    <r>
      <rPr>
        <sz val="11"/>
        <color rgb="FFFF0000"/>
        <rFont val="Calibri"/>
        <family val="2"/>
        <scheme val="minor"/>
      </rPr>
      <t>assumed 5 ton</t>
    </r>
  </si>
  <si>
    <t>Voltage</t>
  </si>
  <si>
    <t>Lennox</t>
  </si>
  <si>
    <t>0.2456 - 0.2761</t>
  </si>
  <si>
    <t>Suppy fan W/cfm</t>
  </si>
  <si>
    <t>0.306 - 0.409</t>
  </si>
  <si>
    <t>9.5-13</t>
  </si>
  <si>
    <t>9.5 - 12</t>
  </si>
  <si>
    <r>
      <t xml:space="preserve">Pkg AC EER = 10.80; Clg EIR = 0.262; Supply Fan W/cfm = 0.269514; Cond Fan W/Btuh = 0.00535136; w/ econo </t>
    </r>
    <r>
      <rPr>
        <sz val="11"/>
        <color rgb="FFFF0000"/>
        <rFont val="Calibri"/>
        <family val="2"/>
        <scheme val="minor"/>
      </rPr>
      <t>assumed 187 kBtuh</t>
    </r>
  </si>
  <si>
    <t>240 kBtuh 10.9 EER Air Cooled Pkg DX</t>
  </si>
  <si>
    <t>83,000-1,270,420</t>
  </si>
  <si>
    <t>65-89, 90-134, 135-239, 240-759, &gt;=760</t>
  </si>
  <si>
    <r>
      <t xml:space="preserve">Pkg AC EER = 10.8 (135-239 kBtuh), Clg EIR = 0.2622, Supply Fan W/cfm = 0.270, Cond Fan W/Btuh = 0.0053 </t>
    </r>
    <r>
      <rPr>
        <sz val="11"/>
        <color rgb="FFFF0000"/>
        <rFont val="Calibri"/>
        <family val="2"/>
        <scheme val="minor"/>
      </rPr>
      <t>assumed 187 kBtuh</t>
    </r>
  </si>
  <si>
    <t>840 kBtuh 10 EER Air Cooled Pkg DX</t>
  </si>
  <si>
    <r>
      <t xml:space="preserve">Pkg AC EER = 11.5 (135-239 kBtuh), Clg EIR = 0.2439, Supply Fan W/cfm = 0.233, Cond Fan W/Btuh = 0.0064 </t>
    </r>
    <r>
      <rPr>
        <sz val="11"/>
        <color rgb="FFFF0000"/>
        <rFont val="Calibri"/>
        <family val="2"/>
        <scheme val="minor"/>
      </rPr>
      <t>assumed 187 kBtuh</t>
    </r>
  </si>
  <si>
    <r>
      <t xml:space="preserve">Pkg AC EER = 12.0 (135-239 kBtuh), Clg EIR = 0.2307, Supply Fan W/cfm = 0.165, Cond Fan W/Btuh = 0.0089 </t>
    </r>
    <r>
      <rPr>
        <sz val="11"/>
        <color rgb="FFFF0000"/>
        <rFont val="Calibri"/>
        <family val="2"/>
        <scheme val="minor"/>
      </rPr>
      <t>assumed 187 kBtuh</t>
    </r>
  </si>
  <si>
    <t>Gas Heat Option</t>
  </si>
  <si>
    <r>
      <t xml:space="preserve">Pkg AC EER = 9.80; w/ furnace; w/ econo </t>
    </r>
    <r>
      <rPr>
        <sz val="11"/>
        <color rgb="FFFF0000"/>
        <rFont val="Calibri"/>
        <family val="2"/>
        <scheme val="minor"/>
      </rPr>
      <t>assumed 500 kBtuh</t>
    </r>
  </si>
  <si>
    <r>
      <t xml:space="preserve">Pkg AC EER = 10.5 (240-759 kBtuh) </t>
    </r>
    <r>
      <rPr>
        <sz val="11"/>
        <color rgb="FFFF0000"/>
        <rFont val="Calibri"/>
        <family val="2"/>
        <scheme val="minor"/>
      </rPr>
      <t>assumed 500 kBtuh</t>
    </r>
  </si>
  <si>
    <r>
      <t>Pkg AC EER = 10.8 (240-759 kBtuh)</t>
    </r>
    <r>
      <rPr>
        <sz val="11"/>
        <color rgb="FFFF0000"/>
        <rFont val="Calibri"/>
        <family val="2"/>
        <scheme val="minor"/>
      </rPr>
      <t xml:space="preserve"> assumed 500 kBtuh</t>
    </r>
  </si>
  <si>
    <t>McQuay</t>
  </si>
  <si>
    <r>
      <t xml:space="preserve">Pkg AC EER = 9.8 (240-759 kBtuh) </t>
    </r>
    <r>
      <rPr>
        <sz val="11"/>
        <color rgb="FFFF0000"/>
        <rFont val="Calibri"/>
        <family val="2"/>
        <scheme val="minor"/>
      </rPr>
      <t>assumed 500 kBtuh</t>
    </r>
  </si>
  <si>
    <r>
      <t xml:space="preserve">Pkg AC EER = 11.00; Clg EIR = 0.257; Supply Fan W/cfm = 0.298; Cond Fan W/Btuh = 0.0053; no econo </t>
    </r>
    <r>
      <rPr>
        <sz val="11"/>
        <color rgb="FFFF0000"/>
        <rFont val="Calibri"/>
        <family val="2"/>
        <scheme val="minor"/>
      </rPr>
      <t>assumed 77 kBtuh</t>
    </r>
  </si>
  <si>
    <t>0.2304 - 0.2622</t>
  </si>
  <si>
    <r>
      <t xml:space="preserve">Pkg AC EER = 11.0 (65-89 kBtuh), Clg EIR = 0.2570, Supply Fan W/cfm = 0.298, Cond Fan W/Btuh = 0.0053 </t>
    </r>
    <r>
      <rPr>
        <sz val="11"/>
        <color rgb="FFFF0000"/>
        <rFont val="Calibri"/>
        <family val="2"/>
        <scheme val="minor"/>
      </rPr>
      <t>assumed 77 kBtuh</t>
    </r>
  </si>
  <si>
    <t>0.165 - 0.298</t>
  </si>
  <si>
    <r>
      <t>Pkg AC EER = 11.5 (65-89 kBtuh), Clg EIR = 0.2401, Supply Fan W/cfm = 0.248, Cond Fan W/Btuh = 0.0060</t>
    </r>
    <r>
      <rPr>
        <sz val="11"/>
        <color rgb="FFFF0000"/>
        <rFont val="Calibri"/>
        <family val="2"/>
        <scheme val="minor"/>
      </rPr>
      <t xml:space="preserve"> assumed 77 kBtuh</t>
    </r>
  </si>
  <si>
    <t>Cond fan W/Btuh</t>
  </si>
  <si>
    <t>0.0053 - 0.0089</t>
  </si>
  <si>
    <r>
      <t>Pkg AC EER = 12.0 (65-89 kBtuh), Clg EIR = 0.2304, Supply Fan W/cfm = 0.238, Cond Fan W/Btuh = 0.0057</t>
    </r>
    <r>
      <rPr>
        <sz val="11"/>
        <color rgb="FFFF0000"/>
        <rFont val="Calibri"/>
        <family val="2"/>
        <scheme val="minor"/>
      </rPr>
      <t xml:space="preserve"> assumed 77 kBtuh</t>
    </r>
  </si>
  <si>
    <r>
      <t xml:space="preserve">Pkg AC EER = 11.00; Clg EIR = 0.257; Supply Fan W/cfm = 0.298; Cond Fan W/Btuh = 0.0053; w/ econo  </t>
    </r>
    <r>
      <rPr>
        <sz val="11"/>
        <color rgb="FFFF0000"/>
        <rFont val="Calibri"/>
        <family val="2"/>
        <scheme val="minor"/>
      </rPr>
      <t>assumed 112 kBtuh</t>
    </r>
  </si>
  <si>
    <r>
      <t xml:space="preserve">Pkg AC EER = 11.0 (90-134 kBtuh), Clg EIR = 0.2570, Supply Fan W/cfm = 0.298, Cond Fan W/Btuh = 0.0053Pkg AC EER = 11.5 (90-134 kBtuh), Clg EIR = 0.2401, Supply Fan W/cfm = 0.248, Cond Fan W/Btuh = 0.0060 </t>
    </r>
    <r>
      <rPr>
        <sz val="11"/>
        <color rgb="FFFF0000"/>
        <rFont val="Calibri"/>
        <family val="2"/>
        <scheme val="minor"/>
      </rPr>
      <t>assumed 112 kBtuh</t>
    </r>
  </si>
  <si>
    <r>
      <t xml:space="preserve">Pkg AC EER = 11.5 (90-134 kBtuh), Clg EIR = 0.2401, Supply Fan W/cfm = 0.248, Cond Fan W/Btuh = 0.0060 </t>
    </r>
    <r>
      <rPr>
        <sz val="11"/>
        <color rgb="FFFF0000"/>
        <rFont val="Calibri"/>
        <family val="2"/>
        <scheme val="minor"/>
      </rPr>
      <t>assumed 112 kBtuh</t>
    </r>
  </si>
  <si>
    <r>
      <t xml:space="preserve">Pkg AC EER = 12.0 (90-134 kBtuh), Clg EIR = 0.2304, Supply Fan W/cfm = 0.238, Cond Fan W/Btuh = 0.0057 </t>
    </r>
    <r>
      <rPr>
        <sz val="11"/>
        <color rgb="FFFF0000"/>
        <rFont val="Calibri"/>
        <family val="2"/>
        <scheme val="minor"/>
      </rPr>
      <t>assumed 112 kBtuh</t>
    </r>
  </si>
  <si>
    <r>
      <t xml:space="preserve">Pkg AC EER = 9.50; w/ furnace; w/ econo </t>
    </r>
    <r>
      <rPr>
        <sz val="11"/>
        <color rgb="FFFF0000"/>
        <rFont val="Calibri"/>
        <family val="2"/>
        <scheme val="minor"/>
      </rPr>
      <t>assumed 760 kBtuh</t>
    </r>
  </si>
  <si>
    <r>
      <t>Pkg AC EER = 10.2 (&gt;= 760 kBtuh)</t>
    </r>
    <r>
      <rPr>
        <sz val="11"/>
        <color rgb="FFFF0000"/>
        <rFont val="Calibri"/>
        <family val="2"/>
        <scheme val="minor"/>
      </rPr>
      <t xml:space="preserve"> assumed 760 kBtuh</t>
    </r>
  </si>
  <si>
    <r>
      <t xml:space="preserve">Pkg AC EER = 9.5 (&gt;= 760 kBtuh) </t>
    </r>
    <r>
      <rPr>
        <sz val="11"/>
        <color rgb="FFFF0000"/>
        <rFont val="Calibri"/>
        <family val="2"/>
        <scheme val="minor"/>
      </rPr>
      <t>assumed 760 kBtuh</t>
    </r>
  </si>
  <si>
    <r>
      <t xml:space="preserve">Pkg AC EER = 9.7 (&gt;= 760 kBtuh) </t>
    </r>
    <r>
      <rPr>
        <sz val="11"/>
        <color rgb="FFFF0000"/>
        <rFont val="Calibri"/>
        <family val="2"/>
        <scheme val="minor"/>
      </rPr>
      <t>assumed 760 kBtuh</t>
    </r>
  </si>
  <si>
    <t>Air-Cooled Chillers</t>
  </si>
  <si>
    <t>Capacity (tons)</t>
  </si>
  <si>
    <t>45-400</t>
  </si>
  <si>
    <t>Air cooled package reciprocating chiller (1.260 kW/ton)</t>
  </si>
  <si>
    <r>
      <t xml:space="preserve">Air cooled package screw chiller (1.260 kW/ton)  </t>
    </r>
    <r>
      <rPr>
        <sz val="11"/>
        <color rgb="FFFF0000"/>
        <rFont val="Calibri"/>
        <family val="2"/>
        <scheme val="minor"/>
      </rPr>
      <t>assumed 50 ton</t>
    </r>
  </si>
  <si>
    <t>kW/ton</t>
  </si>
  <si>
    <t>1.054-1.25</t>
  </si>
  <si>
    <t>1.008 - 1.260</t>
  </si>
  <si>
    <t>Air cooled package reciprocating chiller (1.008 kW/ton)</t>
  </si>
  <si>
    <r>
      <t>Air cooled screw chiller (1.008 kW/ton)</t>
    </r>
    <r>
      <rPr>
        <sz val="11"/>
        <color rgb="FFFF0000"/>
        <rFont val="Calibri"/>
        <family val="2"/>
        <scheme val="minor"/>
      </rPr>
      <t xml:space="preserve"> assumed 50 ton</t>
    </r>
  </si>
  <si>
    <t>Compressor type</t>
  </si>
  <si>
    <t>Screw</t>
  </si>
  <si>
    <t>Air cooled package Scroll chiller (1.260 kW/ton) assumed 100 ton</t>
  </si>
  <si>
    <t>Scroll</t>
  </si>
  <si>
    <t>CEUS</t>
  </si>
  <si>
    <t>Air cooled Scroll chiller (1.008 kW/ton) assumed 100 ton</t>
  </si>
  <si>
    <t>Reciprocating</t>
  </si>
  <si>
    <r>
      <t xml:space="preserve">Air cooled package screw chiller (1.260 kW/ton)  </t>
    </r>
    <r>
      <rPr>
        <sz val="11"/>
        <color rgb="FFFF0000"/>
        <rFont val="Calibri"/>
        <family val="2"/>
        <scheme val="minor"/>
      </rPr>
      <t>assumed 130 ton</t>
    </r>
  </si>
  <si>
    <r>
      <t>Air cooled screw chiller (1.008 kW/ton)</t>
    </r>
    <r>
      <rPr>
        <sz val="11"/>
        <color rgb="FFFF0000"/>
        <rFont val="Calibri"/>
        <family val="2"/>
        <scheme val="minor"/>
      </rPr>
      <t xml:space="preserve"> assumed 130 ton</t>
    </r>
  </si>
  <si>
    <t>Air cooled package Scroll chiller (1.260 kW/ton) assumed 50 ton</t>
  </si>
  <si>
    <t>York</t>
  </si>
  <si>
    <t>Air cooled Scroll chiller (1.008 kW/ton) assumed 50 ton</t>
  </si>
  <si>
    <t>Water-Cooled Chillers 
(excluding centrifugal VSD)</t>
  </si>
  <si>
    <t>59.9-550</t>
  </si>
  <si>
    <t>&lt; 150, 150-299, &gt;=300</t>
  </si>
  <si>
    <r>
      <t xml:space="preserve">Water cooled centrifugal chiller (0.634 kW/ton) </t>
    </r>
    <r>
      <rPr>
        <sz val="11"/>
        <color rgb="FFFF0000"/>
        <rFont val="Calibri"/>
        <family val="2"/>
        <scheme val="minor"/>
      </rPr>
      <t>assumed 175 ton</t>
    </r>
  </si>
  <si>
    <t>0.478-0.769</t>
  </si>
  <si>
    <t>0.461 - 0.790</t>
  </si>
  <si>
    <r>
      <t xml:space="preserve">Water cooled centrifugal chiller (150-299 tons, 0.507 kW/ton) </t>
    </r>
    <r>
      <rPr>
        <sz val="11"/>
        <color rgb="FFFF0000"/>
        <rFont val="Calibri"/>
        <family val="2"/>
        <scheme val="minor"/>
      </rPr>
      <t>assumed 175 ton</t>
    </r>
  </si>
  <si>
    <t>Centrifugal</t>
  </si>
  <si>
    <r>
      <t>Water cooled centrifugal chiller (0.576 kW/ton)</t>
    </r>
    <r>
      <rPr>
        <sz val="11"/>
        <color rgb="FFFF0000"/>
        <rFont val="Calibri"/>
        <family val="2"/>
        <scheme val="minor"/>
      </rPr>
      <t xml:space="preserve"> assumed 300 ton</t>
    </r>
  </si>
  <si>
    <r>
      <t xml:space="preserve">Water cooled centrifugal chiller (&gt;= 300 tons, 0.461 kW/ton)  </t>
    </r>
    <r>
      <rPr>
        <sz val="11"/>
        <color rgb="FFFF0000"/>
        <rFont val="Calibri"/>
        <family val="2"/>
        <scheme val="minor"/>
      </rPr>
      <t>assumed 300 ton</t>
    </r>
  </si>
  <si>
    <r>
      <t xml:space="preserve">Water cooled centrifugal chiller (0.700 kW/ton)  </t>
    </r>
    <r>
      <rPr>
        <sz val="11"/>
        <color rgb="FFFF0000"/>
        <rFont val="Calibri"/>
        <family val="2"/>
        <scheme val="minor"/>
      </rPr>
      <t>assumed 100 ton</t>
    </r>
  </si>
  <si>
    <r>
      <t xml:space="preserve">Water cooled centrifugal chiller (&lt; 150 tons, 0.560 kW/ton) </t>
    </r>
    <r>
      <rPr>
        <sz val="11"/>
        <color rgb="FFFF0000"/>
        <rFont val="Calibri"/>
        <family val="2"/>
        <scheme val="minor"/>
      </rPr>
      <t>assumed 100 ton</t>
    </r>
  </si>
  <si>
    <r>
      <t xml:space="preserve">Water cooled screw chiller (0.718 kW/ton) </t>
    </r>
    <r>
      <rPr>
        <sz val="11"/>
        <color rgb="FFFF0000"/>
        <rFont val="Calibri"/>
        <family val="2"/>
        <scheme val="minor"/>
      </rPr>
      <t>assumed 225 ton</t>
    </r>
  </si>
  <si>
    <r>
      <t xml:space="preserve">Water cooled screw chiller (150-299 tons, 0.574 kW/ton) </t>
    </r>
    <r>
      <rPr>
        <sz val="11"/>
        <color rgb="FFFF0000"/>
        <rFont val="Calibri"/>
        <family val="2"/>
        <scheme val="minor"/>
      </rPr>
      <t>assumed 225 ton</t>
    </r>
  </si>
  <si>
    <r>
      <t xml:space="preserve">Water cooled screw chiller (0.639 kW/ton) </t>
    </r>
    <r>
      <rPr>
        <sz val="11"/>
        <color rgb="FFFF0000"/>
        <rFont val="Calibri"/>
        <family val="2"/>
        <scheme val="minor"/>
      </rPr>
      <t>assumed 300 ton</t>
    </r>
  </si>
  <si>
    <r>
      <t xml:space="preserve">Water cooled screw chiller (&gt;= 300 tons, 0.511 kW/ton) </t>
    </r>
    <r>
      <rPr>
        <sz val="11"/>
        <color rgb="FFFF0000"/>
        <rFont val="Calibri"/>
        <family val="2"/>
        <scheme val="minor"/>
      </rPr>
      <t>assumed 300 ton</t>
    </r>
  </si>
  <si>
    <r>
      <t xml:space="preserve">Water cooled screw chiller (0.790 kW/ton)  </t>
    </r>
    <r>
      <rPr>
        <sz val="11"/>
        <color rgb="FFFF0000"/>
        <rFont val="Calibri"/>
        <family val="2"/>
        <scheme val="minor"/>
      </rPr>
      <t>assumed 100 ton</t>
    </r>
  </si>
  <si>
    <r>
      <t>Water cooled screw chiller (&lt; 150 tons, 0.632 kW/ton)</t>
    </r>
    <r>
      <rPr>
        <sz val="11"/>
        <color rgb="FFFF0000"/>
        <rFont val="Calibri"/>
        <family val="2"/>
        <scheme val="minor"/>
      </rPr>
      <t xml:space="preserve">  assumed 100 ton</t>
    </r>
  </si>
  <si>
    <t>Water-Cooled Centrifugal VSD Chillers
(&gt;= 300 tons)</t>
  </si>
  <si>
    <t>300-1500</t>
  </si>
  <si>
    <r>
      <t xml:space="preserve">Water cooled centrifugal chiller (0.573 kW/ton) </t>
    </r>
    <r>
      <rPr>
        <sz val="11"/>
        <color rgb="FFFF0000"/>
        <rFont val="Calibri"/>
        <family val="2"/>
        <scheme val="minor"/>
      </rPr>
      <t>assumed 500 tons</t>
    </r>
  </si>
  <si>
    <t>0.518-0.596</t>
  </si>
  <si>
    <t>0.461 - 0.560</t>
  </si>
  <si>
    <r>
      <t xml:space="preserve">Water cooled VSD centrifugal chiller (&gt;= 300 tons, 0.461 kW/ton), load control tower </t>
    </r>
    <r>
      <rPr>
        <sz val="11"/>
        <color rgb="FFFF0000"/>
        <rFont val="Calibri"/>
        <family val="2"/>
        <scheme val="minor"/>
      </rPr>
      <t>assumed 500 tons</t>
    </r>
  </si>
  <si>
    <t>24000-60000</t>
  </si>
  <si>
    <t>&lt; 65,000 btuh</t>
  </si>
  <si>
    <r>
      <t>Pkg HP SEER = 13.0 (&lt; 65 kbtuh)</t>
    </r>
    <r>
      <rPr>
        <sz val="11"/>
        <color rgb="FFFF0000"/>
        <rFont val="Calibri"/>
        <family val="2"/>
        <scheme val="minor"/>
      </rPr>
      <t xml:space="preserve"> assumed 40,000 btuh capacity</t>
    </r>
  </si>
  <si>
    <r>
      <t>Pkg HP SEER = 13.0 (&lt; 65 kbtuh)</t>
    </r>
    <r>
      <rPr>
        <sz val="11"/>
        <color rgb="FFFF0000"/>
        <rFont val="Calibri"/>
        <family val="2"/>
        <scheme val="minor"/>
      </rPr>
      <t xml:space="preserve"> assumed 60,000 btuh capacity</t>
    </r>
  </si>
  <si>
    <t>13-15</t>
  </si>
  <si>
    <t>13 - 15</t>
  </si>
  <si>
    <r>
      <t xml:space="preserve">Pkg HP SEER = 14.0 (&lt; 65 kbtuh), EER = 11.6, HSPF = 8.00, COP = 3.52  </t>
    </r>
    <r>
      <rPr>
        <sz val="11"/>
        <color rgb="FFFF0000"/>
        <rFont val="Calibri"/>
        <family val="2"/>
        <scheme val="minor"/>
      </rPr>
      <t>assumed 40,000 btuh capacity</t>
    </r>
  </si>
  <si>
    <r>
      <t xml:space="preserve">Pkg HP SEER = 14.0 (&lt; 65 kbtuh), EER = 11.6, HSPF = 8.00, COP = 3.52  </t>
    </r>
    <r>
      <rPr>
        <sz val="11"/>
        <color rgb="FFFF0000"/>
        <rFont val="Calibri"/>
        <family val="2"/>
        <scheme val="minor"/>
      </rPr>
      <t>assumed 60,000 btuh capacity</t>
    </r>
  </si>
  <si>
    <t>JCI</t>
  </si>
  <si>
    <r>
      <t>Pkg HP SEER = 15.0 (&lt; 65 kbtuh), EER = 12.0, HSPF = 8.50, COP = 3.74</t>
    </r>
    <r>
      <rPr>
        <sz val="11"/>
        <color rgb="FFFF0000"/>
        <rFont val="Calibri"/>
        <family val="2"/>
        <scheme val="minor"/>
      </rPr>
      <t xml:space="preserve">  assumed 40,000 btuh capacity</t>
    </r>
  </si>
  <si>
    <r>
      <t>Pkg HP SEER = 15.0 (&lt; 65 kbtuh), EER = 12.0, HSPF = 8.50, COP = 3.74</t>
    </r>
    <r>
      <rPr>
        <sz val="11"/>
        <color rgb="FFFF0000"/>
        <rFont val="Calibri"/>
        <family val="2"/>
        <scheme val="minor"/>
      </rPr>
      <t xml:space="preserve">  assumed 60,000 btuh capacity</t>
    </r>
  </si>
  <si>
    <r>
      <t xml:space="preserve">Pkg HP SEER = 14.5 (&lt; 65 kBtuh) - Combined SEER 14 and SEER 15 hp </t>
    </r>
    <r>
      <rPr>
        <sz val="11"/>
        <color rgb="FFFF0000"/>
        <rFont val="Calibri"/>
        <family val="2"/>
        <scheme val="minor"/>
      </rPr>
      <t xml:space="preserve"> assumed 40,000 btuh capacity</t>
    </r>
  </si>
  <si>
    <r>
      <t xml:space="preserve">Pkg HP SEER = 14.5 (&lt; 65 kBtuh) - Combined SEER 14 and SEER 15 hp </t>
    </r>
    <r>
      <rPr>
        <sz val="11"/>
        <color rgb="FFFF0000"/>
        <rFont val="Calibri"/>
        <family val="2"/>
        <scheme val="minor"/>
      </rPr>
      <t xml:space="preserve"> assumed 60,000 btuh capacity</t>
    </r>
  </si>
  <si>
    <t>72000-240000</t>
  </si>
  <si>
    <t>65-89, 90-134, 135-239</t>
  </si>
  <si>
    <r>
      <t xml:space="preserve">Pkg HP EER = 10.6 </t>
    </r>
    <r>
      <rPr>
        <sz val="11"/>
        <color rgb="FFFF0000"/>
        <rFont val="Calibri"/>
        <family val="2"/>
        <scheme val="minor"/>
      </rPr>
      <t>assumed 187 kBtuh capacity</t>
    </r>
  </si>
  <si>
    <r>
      <t xml:space="preserve">Pkg HP EER = 10.7 </t>
    </r>
    <r>
      <rPr>
        <sz val="11"/>
        <rFont val="Calibri"/>
        <family val="2"/>
        <scheme val="minor"/>
      </rPr>
      <t xml:space="preserve"> 90 kBtuh capacity</t>
    </r>
  </si>
  <si>
    <t>9.7-12.6</t>
  </si>
  <si>
    <t>9.5 - 12.0</t>
  </si>
  <si>
    <r>
      <t xml:space="preserve">Pkg HP EER = 11.5 (135-239 kBtuh), COP = 3.2 </t>
    </r>
    <r>
      <rPr>
        <sz val="11"/>
        <color rgb="FFFF0000"/>
        <rFont val="Calibri"/>
        <family val="2"/>
        <scheme val="minor"/>
      </rPr>
      <t>assumed 187 kBtuh capacity</t>
    </r>
  </si>
  <si>
    <r>
      <t xml:space="preserve">Pkg HP EER = 10.9 </t>
    </r>
    <r>
      <rPr>
        <sz val="11"/>
        <color rgb="FFFF0000"/>
        <rFont val="Calibri"/>
        <family val="2"/>
        <scheme val="minor"/>
      </rPr>
      <t>assumed 120 kBtuh capacity</t>
    </r>
  </si>
  <si>
    <t>Power exhaust</t>
  </si>
  <si>
    <r>
      <t xml:space="preserve">Pkg HP EER = 12.0 (135-239 kBtuh), COP = 3.2 </t>
    </r>
    <r>
      <rPr>
        <sz val="11"/>
        <color rgb="FFFF0000"/>
        <rFont val="Calibri"/>
        <family val="2"/>
        <scheme val="minor"/>
      </rPr>
      <t>assumed 187 kBtuh capacity</t>
    </r>
  </si>
  <si>
    <r>
      <t xml:space="preserve">Pkg HP EER = 10.5 (135-239 kBtuh), COP = 3.2 </t>
    </r>
    <r>
      <rPr>
        <sz val="11"/>
        <color rgb="FFFF0000"/>
        <rFont val="Calibri"/>
        <family val="2"/>
        <scheme val="minor"/>
      </rPr>
      <t>assumed 180 kBtuh capacity</t>
    </r>
  </si>
  <si>
    <r>
      <t xml:space="preserve">Pkg HP EER = 11.0 </t>
    </r>
    <r>
      <rPr>
        <sz val="11"/>
        <color rgb="FFFF0000"/>
        <rFont val="Calibri"/>
        <family val="2"/>
        <scheme val="minor"/>
      </rPr>
      <t>assumed 77 kBtuh capacity</t>
    </r>
  </si>
  <si>
    <r>
      <t xml:space="preserve">Pkg HP EER = 11.0 </t>
    </r>
    <r>
      <rPr>
        <sz val="11"/>
        <color rgb="FFFF0000"/>
        <rFont val="Calibri"/>
        <family val="2"/>
        <scheme val="minor"/>
      </rPr>
      <t>assumed 120 kBtuh capacity</t>
    </r>
  </si>
  <si>
    <t>Distributor</t>
  </si>
  <si>
    <t>US Air Distributors</t>
  </si>
  <si>
    <r>
      <t xml:space="preserve">Pkg HP EER = 11.5 (65-89 kBtuh), COP = 3.4 </t>
    </r>
    <r>
      <rPr>
        <sz val="11"/>
        <color rgb="FFFF0000"/>
        <rFont val="Calibri"/>
        <family val="2"/>
        <scheme val="minor"/>
      </rPr>
      <t>assumed 77 kBtuh capacity</t>
    </r>
  </si>
  <si>
    <r>
      <t xml:space="preserve">Pkg HP EER = 10.5 </t>
    </r>
    <r>
      <rPr>
        <sz val="11"/>
        <color rgb="FFFF0000"/>
        <rFont val="Calibri"/>
        <family val="2"/>
        <scheme val="minor"/>
      </rPr>
      <t>assumed 360 kBtuh capacity</t>
    </r>
  </si>
  <si>
    <r>
      <t xml:space="preserve">Pkg HP EER = 12.0 (65-89 kBtuh), COP = 3.4 </t>
    </r>
    <r>
      <rPr>
        <sz val="11"/>
        <color rgb="FFFF0000"/>
        <rFont val="Calibri"/>
        <family val="2"/>
        <scheme val="minor"/>
      </rPr>
      <t>assumed 77 kBtuh capacity</t>
    </r>
  </si>
  <si>
    <t>Siglers</t>
  </si>
  <si>
    <r>
      <t xml:space="preserve">Pkg HP EER = 11.0 </t>
    </r>
    <r>
      <rPr>
        <sz val="11"/>
        <color rgb="FFFF0000"/>
        <rFont val="Calibri"/>
        <family val="2"/>
        <scheme val="minor"/>
      </rPr>
      <t>assumed 112 kBtuh capacity</t>
    </r>
  </si>
  <si>
    <r>
      <t xml:space="preserve">Pkg HP EER = 11.5 (90-134 kBtuh), COP = 3.4 </t>
    </r>
    <r>
      <rPr>
        <sz val="11"/>
        <color rgb="FFFF0000"/>
        <rFont val="Calibri"/>
        <family val="2"/>
        <scheme val="minor"/>
      </rPr>
      <t>assumed 112 kBtuh capacity</t>
    </r>
  </si>
  <si>
    <t>Pacific Coast Trane</t>
  </si>
  <si>
    <r>
      <t xml:space="preserve">Pkg HP EER = 12.0 (90-134 kBtuh), COP = 3.4 </t>
    </r>
    <r>
      <rPr>
        <sz val="11"/>
        <color rgb="FFFF0000"/>
        <rFont val="Calibri"/>
        <family val="2"/>
        <scheme val="minor"/>
      </rPr>
      <t>assumed 112 kBtuh capacity</t>
    </r>
  </si>
  <si>
    <t>Residential Water Heating</t>
  </si>
  <si>
    <t>Small Storage Gas WH 
(&lt;= 75,000 BtuH and EF rated)</t>
  </si>
  <si>
    <t>Energy Factor</t>
  </si>
  <si>
    <t>0.58-0.7</t>
  </si>
  <si>
    <t>0.53 -0.70</t>
  </si>
  <si>
    <t>Small Gas Storage Water Heater 30 Gal; EF = 0.61; Recov Eff = 0.76</t>
  </si>
  <si>
    <t>Small Gas Storage Water Heater 40 Gal; EF = 0.59; Recov Eff = 0.76</t>
  </si>
  <si>
    <t>Rated Volume (gallons)</t>
  </si>
  <si>
    <t>30-65</t>
  </si>
  <si>
    <t>30 - 75 gal</t>
  </si>
  <si>
    <t>DEG/EMCOR/MESA</t>
  </si>
  <si>
    <t>High Efficiency Small Gas Storage Water Heater - 30 Gal , 0.62 EF</t>
  </si>
  <si>
    <t>High Efficiency Small Gas Storage Water Heater - 40 Gal , 0.62 EF</t>
  </si>
  <si>
    <t>Forced Draft</t>
  </si>
  <si>
    <t>High Efficiency Small Gas Storage Water Heater - 30 Gal , 0.65 EF</t>
  </si>
  <si>
    <t>High Efficiency Small Gas Storage Water Heater - 40 Gal , 0.67 EF</t>
  </si>
  <si>
    <t>High Efficiency Small Gas Storage Water Heater - 30 Gal , 0.70 EF</t>
  </si>
  <si>
    <t>High Efficiency Small Gas Storage Water Heater - 40 Gal , 0.70 EF</t>
  </si>
  <si>
    <t>AO Smith</t>
  </si>
  <si>
    <t>Small Gas Storage Water Heater 60 Gal; EF = 0.56; Recov Eff = 0.76</t>
  </si>
  <si>
    <t>Bradford-White Co.</t>
  </si>
  <si>
    <t>Small Gas Storage Water Heater 75 Gal; EF = 0.53; Recov Eff = 0.76</t>
  </si>
  <si>
    <t>Rheem</t>
  </si>
  <si>
    <t>State Industries</t>
  </si>
  <si>
    <t>Small Gas Storage Water Heater 50 Gal; EF = 0.57; Recov Eff = 0.76</t>
  </si>
  <si>
    <t>High Efficiency Small Gas Storage Water Heater - 50 Gal , 0.62 EF</t>
  </si>
  <si>
    <t>High Efficiency Small Gas Storage Water Heater - 50 Gal , 0.67 EF</t>
  </si>
  <si>
    <t>High Efficiency Small Gas Storage Water Heater - 50 Gal , 0.70 EF</t>
  </si>
  <si>
    <t>High Efficiency Small Gas Storage Water Heater - 60 Gal , 0.62 EF</t>
  </si>
  <si>
    <t>High Efficiency Small Gas Storage Water Heater - 60 Gal , 0.66 EF</t>
  </si>
  <si>
    <t>High Efficiency Small Gas Storage Water Heater - 60 Gal , 0.70 EF</t>
  </si>
  <si>
    <t>High Efficiency Small Gas Storage Water Heater - 75 Gal , 0.62 EF</t>
  </si>
  <si>
    <t>High Efficiency Small Gas Storage Water Heater - 75 Gal , 0.66 EF</t>
  </si>
  <si>
    <t>High Efficiency Small Gas Storage Water Heater - 75 Gal , 0.70 EF</t>
  </si>
  <si>
    <t xml:space="preserve">Electric Storage WH </t>
  </si>
  <si>
    <t>0.86-0.95</t>
  </si>
  <si>
    <t>0.87 - 0.95</t>
  </si>
  <si>
    <r>
      <t>Small Electric Storage Water Heater 30 Gal;  EF =</t>
    </r>
    <r>
      <rPr>
        <sz val="11"/>
        <color rgb="FFFF0000"/>
        <rFont val="Calibri"/>
        <family val="2"/>
        <scheme val="minor"/>
      </rPr>
      <t xml:space="preserve"> 0.93</t>
    </r>
    <r>
      <rPr>
        <sz val="11"/>
        <color theme="1"/>
        <rFont val="Calibri"/>
        <family val="2"/>
        <scheme val="minor"/>
      </rPr>
      <t>; Recov Eff = 0.98</t>
    </r>
  </si>
  <si>
    <t>Small Electric Storage Water Heater 30 Gal;  EF = 0.93; Recov Eff = 0.98</t>
  </si>
  <si>
    <t>Rated Volume</t>
  </si>
  <si>
    <t>30-80</t>
  </si>
  <si>
    <t>High Efficiency Small Electric Storage Water Heater - 30 Gal, 0.95 EF</t>
  </si>
  <si>
    <t>A.O. Smith</t>
  </si>
  <si>
    <r>
      <t xml:space="preserve">Small Electric Storage Water Heater 40 Gal;  EF = </t>
    </r>
    <r>
      <rPr>
        <sz val="11"/>
        <color rgb="FFFF0000"/>
        <rFont val="Calibri"/>
        <family val="2"/>
        <scheme val="minor"/>
      </rPr>
      <t>0.92</t>
    </r>
    <r>
      <rPr>
        <sz val="11"/>
        <color theme="1"/>
        <rFont val="Calibri"/>
        <family val="2"/>
        <scheme val="minor"/>
      </rPr>
      <t>; Recov Eff = 0.98</t>
    </r>
  </si>
  <si>
    <t>Small Electric Storage Water Heater 40 Gal;  EF = 0.92; Recov Eff = 0.98</t>
  </si>
  <si>
    <t>High Efficiency Small Electric Storage Water Heater - 40 Gal, 0.94 EF</t>
  </si>
  <si>
    <r>
      <t>Small Electric Storage Water Heater 50 Gal;  EF =</t>
    </r>
    <r>
      <rPr>
        <sz val="11"/>
        <color rgb="FFFF0000"/>
        <rFont val="Calibri"/>
        <family val="2"/>
        <scheme val="minor"/>
      </rPr>
      <t xml:space="preserve"> 0.90</t>
    </r>
    <r>
      <rPr>
        <sz val="11"/>
        <color theme="1"/>
        <rFont val="Calibri"/>
        <family val="2"/>
        <scheme val="minor"/>
      </rPr>
      <t>; Recov Eff = 0.98</t>
    </r>
  </si>
  <si>
    <t>Small Electric Storage Water Heater 50 Gal;  EF = 0.90; Recov Eff = 0.98</t>
  </si>
  <si>
    <t>High Efficiency Small Electric Storage Water Heater - 50 Gal, 0.93 EF</t>
  </si>
  <si>
    <r>
      <t xml:space="preserve">Small Electric Storage Water Heater 60 Gal;  EF = </t>
    </r>
    <r>
      <rPr>
        <sz val="11"/>
        <color rgb="FFFF0000"/>
        <rFont val="Calibri"/>
        <family val="2"/>
        <scheme val="minor"/>
      </rPr>
      <t>0.89</t>
    </r>
    <r>
      <rPr>
        <sz val="11"/>
        <color theme="1"/>
        <rFont val="Calibri"/>
        <family val="2"/>
        <scheme val="minor"/>
      </rPr>
      <t>; Recov Eff = 0.98</t>
    </r>
  </si>
  <si>
    <t>Electric Storage Water Heater - 66 Gal, .88 EF</t>
  </si>
  <si>
    <t>High Efficiency Small Electric Storage Water Heater - 60 Gal, 0.92 EF</t>
  </si>
  <si>
    <t>Electric Storage Water Heater - 66 Gal, .92 EF</t>
  </si>
  <si>
    <r>
      <t xml:space="preserve">Small Electric Storage Water Heater 75 Gal;  EF = </t>
    </r>
    <r>
      <rPr>
        <sz val="11"/>
        <color rgb="FFFF0000"/>
        <rFont val="Calibri"/>
        <family val="2"/>
        <scheme val="minor"/>
      </rPr>
      <t>0.87</t>
    </r>
    <r>
      <rPr>
        <sz val="11"/>
        <color theme="1"/>
        <rFont val="Calibri"/>
        <family val="2"/>
        <scheme val="minor"/>
      </rPr>
      <t>; Recov Eff = 0.98</t>
    </r>
  </si>
  <si>
    <t>High Efficiency Small Electric Storage Water Heater - 75 Gal, 0.91 EF</t>
  </si>
  <si>
    <t>Tankless WH</t>
  </si>
  <si>
    <t xml:space="preserve">82 - 92 (.82-.92) </t>
  </si>
  <si>
    <t>.80, .85, .90</t>
  </si>
  <si>
    <t>.80, .90</t>
  </si>
  <si>
    <t>High Efficiency Medium Gas Instantaneous Water heater , 0.82 TE, 120 mbtu/hr</t>
  </si>
  <si>
    <t>Capacity (Mbtu)</t>
  </si>
  <si>
    <t>120-250</t>
  </si>
  <si>
    <t>&lt;= 200, &gt; 200</t>
  </si>
  <si>
    <t>QuEST</t>
  </si>
  <si>
    <t>High Efficiency Medium Gas Instantaneous Water heater,  0.91 TE, 180 mbtu/hr</t>
  </si>
  <si>
    <t xml:space="preserve">Rheem </t>
  </si>
  <si>
    <t>High Efficiency Medium Gas Instantaneous Water heater, 0.93 TE, 150 mbtu/hr</t>
  </si>
  <si>
    <t>High Efficiency Large Gas Instantaneous Water heater, 0.82 TE, 200 mbtu/hr</t>
  </si>
  <si>
    <t>High Efficiency Large Gas Instantaneous Water heater, 0.84 TE, 250 mbtu/hr</t>
  </si>
  <si>
    <t>High Efficiency Large Gas Instantaneous Water heater, 0.92 TE, 200 mbtu/hr</t>
  </si>
  <si>
    <t>Heat Pump Water Heaters</t>
  </si>
  <si>
    <t>Storage Volume (gallons)</t>
  </si>
  <si>
    <t>40 - 80</t>
  </si>
  <si>
    <t>&gt;=40</t>
  </si>
  <si>
    <t>40 gallon electric water heater, .92 EF</t>
  </si>
  <si>
    <t>Input KW</t>
  </si>
  <si>
    <t>2.2 - 5.5</t>
  </si>
  <si>
    <t>DEG/Itron</t>
  </si>
  <si>
    <t>Retail prices</t>
  </si>
  <si>
    <t>Heat pump water heater, 40 gallons, 4.0  kw, 2.0 EF, 240 volt</t>
  </si>
  <si>
    <t>2 - 2.51</t>
  </si>
  <si>
    <t>&gt;= 2.0</t>
  </si>
  <si>
    <t>Heat pump water heater, 50 gallons, 4.5  kw, 2.4 EF, 240 volt</t>
  </si>
  <si>
    <t>Heat pump water heater, 50 gallons, 5.5  kw, 2.45 EF, 230 volt</t>
  </si>
  <si>
    <t>Heat pump water heater, 60 gallons, 4.5  kw, 2.33 EF, 240 volt</t>
  </si>
  <si>
    <t>Heat pump water heater, 80 gallons, 2.2  kw, 2.51 EF, 240 volt</t>
  </si>
  <si>
    <t>Heat pump water heater, 80 gallons, 4.5  kw, 2.33 EF, 240 volt</t>
  </si>
  <si>
    <t>Non-Residential Water Heating</t>
  </si>
  <si>
    <t>Large Storage Gas WH 
(&gt; 75,000 BtuH and TE rated)</t>
  </si>
  <si>
    <t>Rated Input (Btuh)</t>
  </si>
  <si>
    <t>75100-740000</t>
  </si>
  <si>
    <t>&gt; 75,000 Btuh</t>
  </si>
  <si>
    <r>
      <t xml:space="preserve">Large Gas Storage Water Heater; Et = 0.80; Stdby Loss = 0.56%/hr </t>
    </r>
    <r>
      <rPr>
        <sz val="11"/>
        <color rgb="FFFF0000"/>
        <rFont val="Calibri"/>
        <family val="2"/>
        <scheme val="minor"/>
      </rPr>
      <t>assumed 75 gal capacity and 125,000 Btuh</t>
    </r>
  </si>
  <si>
    <t>Large Gas Storage Water Heater; Et = 0.80; Stdby Loss = 0.56%/hr assumed 75 gal capacity and 125,000 Btuh</t>
  </si>
  <si>
    <t>50-130</t>
  </si>
  <si>
    <t>EMCOR/MESA</t>
  </si>
  <si>
    <r>
      <t xml:space="preserve">High Efficiency Large Gas Storage Water Heater - 0.83 Et </t>
    </r>
    <r>
      <rPr>
        <sz val="11"/>
        <color rgb="FFFF0000"/>
        <rFont val="Calibri"/>
        <family val="2"/>
        <scheme val="minor"/>
      </rPr>
      <t>assumed 75 gal capacity and 125,000 Btuh</t>
    </r>
  </si>
  <si>
    <t>High Efficiency Large Gas Storage Water Heater - 0.95 Et assumed 55 gal capacity and 100,000 Btuh</t>
  </si>
  <si>
    <t>Thermal Efficiency</t>
  </si>
  <si>
    <t>0.79-0.99</t>
  </si>
  <si>
    <t>0.8 - 0.9</t>
  </si>
  <si>
    <r>
      <t xml:space="preserve">High Efficiency Large Gas Storage Water Heater - 0.90 Et </t>
    </r>
    <r>
      <rPr>
        <sz val="11"/>
        <color rgb="FFFF0000"/>
        <rFont val="Calibri"/>
        <family val="2"/>
        <scheme val="minor"/>
      </rPr>
      <t>assumed 75 gal capacity and 125,000 Btuh</t>
    </r>
  </si>
  <si>
    <t>High Efficiency Large Gas Storage Water Heater - 0.92 Et assumed 100 gal capacity and 400,000 Btuh</t>
  </si>
  <si>
    <t>ASME Construction</t>
  </si>
  <si>
    <t>High Efficiency Large Gas Storage Water Heater - 0.96 Et assumed 130 gal capacity and 300,000 Btuh</t>
  </si>
  <si>
    <t>High Efficiency Large Gas Storage Water Heater - 0.82 Et assumed 100 gal capacity and 199,900 Btuh</t>
  </si>
  <si>
    <t>Supplier</t>
  </si>
  <si>
    <t>Cal Steam</t>
  </si>
  <si>
    <t>High Efficiency Large Gas Storage Water Heater - 0.94 Et assumed 80 gal capacity and 150,000 Btuh</t>
  </si>
  <si>
    <t>Pace Supply</t>
  </si>
  <si>
    <t xml:space="preserve">High Efficiency Large Gas Storage Water Heater - 0.80 Et  100 gal capacity and 199,900 Btuh </t>
  </si>
  <si>
    <t>Heieck Supply</t>
  </si>
  <si>
    <t>Ferguson Plumbing Supply</t>
  </si>
  <si>
    <t>(Do not delete this row; see cells at right)</t>
  </si>
  <si>
    <t xml:space="preserve">Yes </t>
  </si>
  <si>
    <t>Lighting - Controls</t>
  </si>
  <si>
    <t>Occupancy Sensors</t>
  </si>
  <si>
    <t>Coverage (ft2)</t>
  </si>
  <si>
    <t>90 - 2,152</t>
  </si>
  <si>
    <t>200, 1000</t>
  </si>
  <si>
    <t>Absence of occupancy sensor, manually controlled switch</t>
  </si>
  <si>
    <r>
      <t>Occupancy sensor (300 sqft)</t>
    </r>
    <r>
      <rPr>
        <sz val="11"/>
        <color rgb="FFFF0000"/>
        <rFont val="Calibri"/>
        <family val="2"/>
        <scheme val="minor"/>
      </rPr>
      <t xml:space="preserve"> assumed ceiling mount, passive infrared, indoor, 24v </t>
    </r>
  </si>
  <si>
    <t>Battery Powered</t>
  </si>
  <si>
    <t>DEG, QuEST</t>
  </si>
  <si>
    <r>
      <t xml:space="preserve">Occupancy sensor (1000 sqft) </t>
    </r>
    <r>
      <rPr>
        <sz val="11"/>
        <color rgb="FFFF0000"/>
        <rFont val="Calibri"/>
        <family val="2"/>
        <scheme val="minor"/>
      </rPr>
      <t>assumed ceiling mount, passive infrared &amp; ultrasonic, indoor, 120v</t>
    </r>
  </si>
  <si>
    <t>Occupancy sensor (2000 sqft) ceiling mount, passive infrared, outdoor 24v</t>
  </si>
  <si>
    <t>Solar Powered</t>
  </si>
  <si>
    <t>Occupancy sensor (2000 sqft) ceiling mount, passive infrared, outdoor, 24v</t>
  </si>
  <si>
    <t>Occupancy sensor (1000 sqft) wall mount, passive infrared &amp; ultrasonic, indoor, 120v</t>
  </si>
  <si>
    <t>Outdoor</t>
  </si>
  <si>
    <t>Two Loads</t>
  </si>
  <si>
    <t>Ultrasonic</t>
  </si>
  <si>
    <t>12 volt</t>
  </si>
  <si>
    <t>18 volt</t>
  </si>
  <si>
    <t>24 volt</t>
  </si>
  <si>
    <t>120 volt</t>
  </si>
  <si>
    <t>277 volt</t>
  </si>
  <si>
    <t>Labor Cost Recommended Values</t>
  </si>
  <si>
    <t>Labor Cost Benchmarking</t>
  </si>
  <si>
    <t>Labor Cost Supporting Data</t>
  </si>
  <si>
    <t>Recommended Values</t>
  </si>
  <si>
    <t>Benchmarking</t>
  </si>
  <si>
    <t>Subcontractor Artificial Bids</t>
  </si>
  <si>
    <t>Contractor Surveys</t>
  </si>
  <si>
    <t>RSMeans</t>
  </si>
  <si>
    <t>Installation Dimension/Scenario</t>
  </si>
  <si>
    <t>Common Unit</t>
  </si>
  <si>
    <t>Source of recommend values</t>
  </si>
  <si>
    <t>Labor Hours per unit</t>
  </si>
  <si>
    <t>Total Labor Hours Formula</t>
  </si>
  <si>
    <t>Labor Hourly Rate</t>
  </si>
  <si>
    <t>Labor Cost per unit</t>
  </si>
  <si>
    <t>Miscellaneous Costs per unit</t>
  </si>
  <si>
    <t>Miscellaneous Fixed Costs (per project)</t>
  </si>
  <si>
    <t>Markup</t>
  </si>
  <si>
    <r>
      <t xml:space="preserve">Total Non-equipment costs ($/unit) </t>
    </r>
    <r>
      <rPr>
        <b/>
        <sz val="11"/>
        <color rgb="FFFF0000"/>
        <rFont val="Calibri"/>
        <family val="2"/>
        <scheme val="minor"/>
      </rPr>
      <t>excluding fixed costs</t>
    </r>
  </si>
  <si>
    <t>Labor Hours / unit</t>
  </si>
  <si>
    <r>
      <t xml:space="preserve">Total Non-equipment costs ($/unit) </t>
    </r>
    <r>
      <rPr>
        <b/>
        <sz val="11"/>
        <color rgb="FFFF0000"/>
        <rFont val="Calibri"/>
        <family val="2"/>
        <scheme val="minor"/>
      </rPr>
      <t>before markup excluding fixed costs</t>
    </r>
  </si>
  <si>
    <t>Labor Hours 1</t>
  </si>
  <si>
    <t>Labor Hourly Rate 1</t>
  </si>
  <si>
    <t>Labor Cost 1</t>
  </si>
  <si>
    <t>Non-equipment materials 1</t>
  </si>
  <si>
    <t>Misc expenses 1</t>
  </si>
  <si>
    <t>Fees 1</t>
  </si>
  <si>
    <t>Labor Hours 2</t>
  </si>
  <si>
    <t>Labor Hourly Rate 2</t>
  </si>
  <si>
    <t>Labor Cost 2</t>
  </si>
  <si>
    <t>Non-equipment materials 2</t>
  </si>
  <si>
    <t>Misc expenses 2</t>
  </si>
  <si>
    <t>Fees 2</t>
  </si>
  <si>
    <t>Labor Hours 3</t>
  </si>
  <si>
    <t>Labor Hours 3 Std err</t>
  </si>
  <si>
    <t>Labor Hours N</t>
  </si>
  <si>
    <t>Labor Hourly Rate 3</t>
  </si>
  <si>
    <t>Misc expenses 3</t>
  </si>
  <si>
    <t>Misc expenses 3 Std err</t>
  </si>
  <si>
    <t xml:space="preserve">Misc expenses N </t>
  </si>
  <si>
    <t>Labor Hours 5</t>
  </si>
  <si>
    <t>Labor Hourly Rate 5</t>
  </si>
  <si>
    <t>Labor rate</t>
  </si>
  <si>
    <t>SF to statewide weight</t>
  </si>
  <si>
    <t xml:space="preserve">means labor markup </t>
  </si>
  <si>
    <t>MBH</t>
  </si>
  <si>
    <t>H = 0.017(MBH) + 3.2398</t>
  </si>
  <si>
    <t>DEER 2008</t>
  </si>
  <si>
    <t>Up-flow 45 MBH</t>
  </si>
  <si>
    <t>Up-flow 75 MBH</t>
  </si>
  <si>
    <t>Std dev</t>
  </si>
  <si>
    <t>Up-flow 100 MBH</t>
  </si>
  <si>
    <t>min</t>
  </si>
  <si>
    <t>Up-flow 120 MBH</t>
  </si>
  <si>
    <t>max</t>
  </si>
  <si>
    <t>Up-flow 125 MBH</t>
  </si>
  <si>
    <t>Up-flow 150 MBH</t>
  </si>
  <si>
    <t>Horizontal flow 45 MBH</t>
  </si>
  <si>
    <t>Horizontal flow 60 MBH</t>
  </si>
  <si>
    <t>Horizontal flow 70 MBH</t>
  </si>
  <si>
    <t>Horizontal flow 90 MBH</t>
  </si>
  <si>
    <t>Horizontal flow 110 MBH</t>
  </si>
  <si>
    <t>Non-Res Labor and non-equipment costs</t>
  </si>
  <si>
    <t>unt</t>
  </si>
  <si>
    <t>Contractor survey</t>
  </si>
  <si>
    <t>H = 7.7894e0.4643(tons)</t>
  </si>
  <si>
    <t>3 ton 1.1 kw/ton (10.9 EER)</t>
  </si>
  <si>
    <t>Non-Res Labor rate</t>
  </si>
  <si>
    <t>unit</t>
  </si>
  <si>
    <t>Artificial bids</t>
  </si>
  <si>
    <t>Crane rental</t>
  </si>
  <si>
    <t>Non-Res Micellanous costs</t>
  </si>
  <si>
    <t>Installation (5 ton)</t>
  </si>
  <si>
    <t>Res Labor and non-equipment costs</t>
  </si>
  <si>
    <t>DOE TSD &amp; bids</t>
  </si>
  <si>
    <t>Removal</t>
  </si>
  <si>
    <t>Disposal</t>
  </si>
  <si>
    <t>Testing/commissioning (5 ton)</t>
  </si>
  <si>
    <t>1.5 ton condensing unit</t>
  </si>
  <si>
    <t>tons</t>
  </si>
  <si>
    <t>cond. + coil labor</t>
  </si>
  <si>
    <t>hr/ton</t>
  </si>
  <si>
    <t>2 ton condensing unit</t>
  </si>
  <si>
    <t>2.5 ton condensing unit</t>
  </si>
  <si>
    <t>3 ton condensing unit</t>
  </si>
  <si>
    <t>3.5 ton condensing unit</t>
  </si>
  <si>
    <t>4 ton condensing unit</t>
  </si>
  <si>
    <t>5 ton condensing unit</t>
  </si>
  <si>
    <t>2 ton fan coil</t>
  </si>
  <si>
    <t>2.5 ton fan coil</t>
  </si>
  <si>
    <t>3 ton fan coil</t>
  </si>
  <si>
    <t>4 ton fan coil</t>
  </si>
  <si>
    <t>5 ton fan coil</t>
  </si>
  <si>
    <t>DOE TSD</t>
  </si>
  <si>
    <t>H = 1.6543(tons) + 5.2908</t>
  </si>
  <si>
    <t>Table G-3:  Statewide RSMeans Cost Indices Weighted by 2010-2012 Buidling Shell Measure Claims</t>
  </si>
  <si>
    <t>1 ton condensing unit</t>
  </si>
  <si>
    <t>1.5 ton fan coil</t>
  </si>
  <si>
    <t>3.5 ton fan coil</t>
  </si>
  <si>
    <t>hr/HP</t>
  </si>
  <si>
    <t>rs means markup</t>
  </si>
  <si>
    <t>NREL</t>
  </si>
  <si>
    <t>H = 2.4721(HP) + 2.8865</t>
  </si>
  <si>
    <t>Direct drive, 150 CFM, 1/8HP</t>
  </si>
  <si>
    <t>H = 1.5942(HP) + 3.1808</t>
  </si>
  <si>
    <t>Direct drive, 485 CFM, 1/6HP</t>
  </si>
  <si>
    <t>1 - Table 07 (Thermal and Moisture Protection) RSMeans MasterFormat City Cost Indexes, Year 2013 National Average Base</t>
  </si>
  <si>
    <t>workpaper references Means 2002</t>
  </si>
  <si>
    <t>Direct drive, 1950 CFM, 1/2HP</t>
  </si>
  <si>
    <t>2 - 2010-2012 Standard Program Tracking Data (all in-scope deemed nonresidential building shell claims)</t>
  </si>
  <si>
    <t>Direct drive, 2410 CFM, 3/4HP</t>
  </si>
  <si>
    <t>Direct drive, 3328 CFM, 1-1/2HP</t>
  </si>
  <si>
    <t>V-belt drive, 800 CFM, 1/4 HP</t>
  </si>
  <si>
    <t>V-belt drive, 1300 CFM, 1/3 HP</t>
  </si>
  <si>
    <t>V-belt drive, 2000 CFM, 3/4 HP</t>
  </si>
  <si>
    <t>avg direct</t>
  </si>
  <si>
    <t>V-belt drive, 2900 CFM, 1 HP</t>
  </si>
  <si>
    <t>std direct</t>
  </si>
  <si>
    <t>Average of NREL study</t>
  </si>
  <si>
    <t>avg v-belt</t>
  </si>
  <si>
    <t>std v-belt</t>
  </si>
  <si>
    <t>Hours/HP</t>
  </si>
  <si>
    <t>Labor Cost &gt; 50  HP</t>
  </si>
  <si>
    <t>H = 0.0796(HP) + 30.5</t>
  </si>
  <si>
    <t>Variable frequency drives, enclosed, 460 volt, 15HP, NEMA1</t>
  </si>
  <si>
    <t>Labor Cost 15 - 50 HP</t>
  </si>
  <si>
    <t>H = 0.3405(HP) + 12.225</t>
  </si>
  <si>
    <t>Variable frequency drives, enclosed, 460 volt, 20HP, NEMA1</t>
  </si>
  <si>
    <t>Variable frequency drives, enclosed, 460 volt, 30HP, NEMA1</t>
  </si>
  <si>
    <t>Variable frequency drives, enclosed, 460 volt, 40HP, NEMA1</t>
  </si>
  <si>
    <t>Variable frequency drives, enclosed, 460 volt, 50HP, NEMA1</t>
  </si>
  <si>
    <t>Variable frequency drives, enclosed, 460 volt, 60HP, NEMA1</t>
  </si>
  <si>
    <t>Variable frequency drives, enclosed, 460 volt, 75HP, NEMA1</t>
  </si>
  <si>
    <t>Variable frequency drives, enclosed, 460 volt, 100HP, NEMA1</t>
  </si>
  <si>
    <t>Variable frequency drives, enclosed, 460 volt, 150HP, NEMA1</t>
  </si>
  <si>
    <t>Variable frequency drives, enclosed, 460 volt, 200HP, NEMA1</t>
  </si>
  <si>
    <t>Labor Cost 3 - 10 HP</t>
  </si>
  <si>
    <t>H = 0.3328(HP) + 8.8483</t>
  </si>
  <si>
    <t>Variable frequency drives, enclosed, 460 volt, 3HP, NEMA1</t>
  </si>
  <si>
    <t>Variable frequency drives, enclosed, 460 volt, 5HP, NEMA1</t>
  </si>
  <si>
    <t>Variable frequency drives, enclosed, 460 volt, 7.5HP, NEMA1</t>
  </si>
  <si>
    <t>Variable frequency drives, enclosed, 460 volt, 10HP, NEMA1</t>
  </si>
  <si>
    <t>average</t>
  </si>
  <si>
    <t>std dev</t>
  </si>
  <si>
    <t>Labor and non-equipment costs</t>
  </si>
  <si>
    <t>means markup</t>
  </si>
  <si>
    <t>y = 0.845(tons) + 27.129</t>
  </si>
  <si>
    <t>H = 3.4156e0.413(tons)</t>
  </si>
  <si>
    <t>Labor Rate</t>
  </si>
  <si>
    <t>Micellanous costs</t>
  </si>
  <si>
    <t>1.5 ton</t>
  </si>
  <si>
    <t>2 ton</t>
  </si>
  <si>
    <t>2.5 ton</t>
  </si>
  <si>
    <t>3 ton</t>
  </si>
  <si>
    <t>3.5 ton</t>
  </si>
  <si>
    <t>4 ton</t>
  </si>
  <si>
    <t>5 ton</t>
  </si>
  <si>
    <t>contractor survey</t>
  </si>
  <si>
    <t>hrs/ton</t>
  </si>
  <si>
    <t>hrs</t>
  </si>
  <si>
    <t>RSMeans less than 20 tons</t>
  </si>
  <si>
    <t>H = 2.5122(tons) + 7.235</t>
  </si>
  <si>
    <t xml:space="preserve">20 ton ground mounted </t>
  </si>
  <si>
    <t>RSMeans 20 tons or more</t>
  </si>
  <si>
    <t>20 ton ground mounted gas heat</t>
  </si>
  <si>
    <t>Artificial bids - 20 ton ground</t>
  </si>
  <si>
    <t xml:space="preserve">20 ton roof mounted </t>
  </si>
  <si>
    <t>artificial bids</t>
  </si>
  <si>
    <t>Artificial bids - 20 ton roof</t>
  </si>
  <si>
    <t xml:space="preserve">70 ton roof mounted </t>
  </si>
  <si>
    <t>Artificial bids - 70 ton roof</t>
  </si>
  <si>
    <t>DEER 2008   5-60+ton</t>
  </si>
  <si>
    <t>2.23-4.55</t>
  </si>
  <si>
    <t>$151 - $309</t>
  </si>
  <si>
    <t>Installation (40 ton)</t>
  </si>
  <si>
    <t>hours/ton</t>
  </si>
  <si>
    <t>Testing/commissioning (40 ton)</t>
  </si>
  <si>
    <t>7.5 ton</t>
  </si>
  <si>
    <t>10 ton</t>
  </si>
  <si>
    <t>ave lt 20</t>
  </si>
  <si>
    <t>15 ton</t>
  </si>
  <si>
    <t>ave ge 20</t>
  </si>
  <si>
    <t>20 ton</t>
  </si>
  <si>
    <t>25 ton</t>
  </si>
  <si>
    <t>30 ton</t>
  </si>
  <si>
    <t>40 ton</t>
  </si>
  <si>
    <t>50 ton</t>
  </si>
  <si>
    <t>60 ton</t>
  </si>
  <si>
    <t>80 ton</t>
  </si>
  <si>
    <t>100 ton</t>
  </si>
  <si>
    <t>100 ton ground mount Labor and non-equipment costs</t>
  </si>
  <si>
    <t>RSMeans 130 to 320 ton screw</t>
  </si>
  <si>
    <t>H = 0.221(tons) + 207.06</t>
  </si>
  <si>
    <t>EMCOR 100 ton ground level</t>
  </si>
  <si>
    <t>200 ton ground mount Labor and non-equipment costs</t>
  </si>
  <si>
    <t>RSMeans 10 to 50 ton scroll</t>
  </si>
  <si>
    <t>H = 0.5261(tons) + 85.493</t>
  </si>
  <si>
    <t>EMCOR 200 ton ground level</t>
  </si>
  <si>
    <t>300 ton ground mount Labor and non-equipment costs</t>
  </si>
  <si>
    <t>DEER 2008 screw</t>
  </si>
  <si>
    <t>EMCOR 300 ton ground level</t>
  </si>
  <si>
    <t>100 ton roof mount Labor and non-equipment costs</t>
  </si>
  <si>
    <t>EMCOR 100 ton roof</t>
  </si>
  <si>
    <t>200 ton roof mount Labor and non-equipment costs</t>
  </si>
  <si>
    <t>EMCOR 200 ton roof</t>
  </si>
  <si>
    <t>300 ton roof mount Labor and non-equipment costs</t>
  </si>
  <si>
    <t>EMCOR 300 ton roof</t>
  </si>
  <si>
    <t>130 ton screw</t>
  </si>
  <si>
    <t>160 ton screw</t>
  </si>
  <si>
    <t>180 ton screw</t>
  </si>
  <si>
    <t>210 ton screw</t>
  </si>
  <si>
    <t>270 ton screw</t>
  </si>
  <si>
    <t>320 ton screw</t>
  </si>
  <si>
    <t>10 ton scroll</t>
  </si>
  <si>
    <t>15 ton scroll</t>
  </si>
  <si>
    <t>20 ton scroll</t>
  </si>
  <si>
    <t>25 ton scroll</t>
  </si>
  <si>
    <t>30 ton scroll</t>
  </si>
  <si>
    <t>35 ton scroll</t>
  </si>
  <si>
    <t>40 ton scroll</t>
  </si>
  <si>
    <t>45 ton scroll</t>
  </si>
  <si>
    <t>50 ton scroll</t>
  </si>
  <si>
    <t>RSMeans 80 - 350 ton screw</t>
  </si>
  <si>
    <t>H = 0.188x + 210.89</t>
  </si>
  <si>
    <t>RSMeans 2 - 30 ton scroll</t>
  </si>
  <si>
    <t>H = 2.6114x + 26.927</t>
  </si>
  <si>
    <t>RSMeans 400 - 2500 centrifugal</t>
  </si>
  <si>
    <t>H = 0.1177x + 246.68</t>
  </si>
  <si>
    <t>100 ton basement Labor and non-equipment costs</t>
  </si>
  <si>
    <t>1.06-2.97</t>
  </si>
  <si>
    <t>$71.95 - $201.60</t>
  </si>
  <si>
    <t>EMCOR 100 ton basement</t>
  </si>
  <si>
    <t>200 ton basement Labor and non-equipment costs</t>
  </si>
  <si>
    <t>DEER 2008 centrifugal</t>
  </si>
  <si>
    <t>1.23-1.41</t>
  </si>
  <si>
    <t>$83.49 - 95.71</t>
  </si>
  <si>
    <t>EMCOR 200 ton basement</t>
  </si>
  <si>
    <t>300 ton basement Labor and non-equipment costs</t>
  </si>
  <si>
    <t>EMCOR 300 ton basement</t>
  </si>
  <si>
    <t>80 ton screw</t>
  </si>
  <si>
    <t>100 ton screw</t>
  </si>
  <si>
    <t>150 ton screw</t>
  </si>
  <si>
    <t>200 ton screw</t>
  </si>
  <si>
    <t>250 ton screw</t>
  </si>
  <si>
    <t>300 ton screw</t>
  </si>
  <si>
    <t>350 ton screw</t>
  </si>
  <si>
    <t>2 ton scroll</t>
  </si>
  <si>
    <t>5 ton scroll</t>
  </si>
  <si>
    <t>6 ton scroll</t>
  </si>
  <si>
    <t>8 ton scroll</t>
  </si>
  <si>
    <t>400 ton centrifugal</t>
  </si>
  <si>
    <t>600 ton centrifugal</t>
  </si>
  <si>
    <t>800 ton centrifugal</t>
  </si>
  <si>
    <t>1000 ton centrifugal</t>
  </si>
  <si>
    <t>1200 ton centrifugal</t>
  </si>
  <si>
    <t>1400 ton centrifugal</t>
  </si>
  <si>
    <t>1600 ton centrifugal</t>
  </si>
  <si>
    <t>1800 ton centrifugal</t>
  </si>
  <si>
    <t>2000 ton centrifugal</t>
  </si>
  <si>
    <t>2500 ton centrifugal</t>
  </si>
  <si>
    <t>300 ton ground Labor and non-equipment costs</t>
  </si>
  <si>
    <t>300 ton roof Labor and non-equipment costs</t>
  </si>
  <si>
    <t>hr/hp</t>
  </si>
  <si>
    <t>7.5 ton ground</t>
  </si>
  <si>
    <t>RSMeans 20 tons or less</t>
  </si>
  <si>
    <t>H = 2.4283(tons) + 8.4007</t>
  </si>
  <si>
    <t>7.5 ton Ground level</t>
  </si>
  <si>
    <t>7.5 ton roof</t>
  </si>
  <si>
    <t>Artificial bid 7.5 ton ground</t>
  </si>
  <si>
    <t>7.5 ton Roof</t>
  </si>
  <si>
    <t>Crane Rental</t>
  </si>
  <si>
    <t>Artificial bid 7.5 ton roof</t>
  </si>
  <si>
    <t xml:space="preserve">DEER 2008 </t>
  </si>
  <si>
    <t>hours/mbh</t>
  </si>
  <si>
    <t>30 - 100 gal Atmospheric gas storage WH labor hours and rates</t>
  </si>
  <si>
    <t>H = 0.0315(gal) + 2.9443</t>
  </si>
  <si>
    <t>30 gal atmospheric gas storage</t>
  </si>
  <si>
    <t>40 gal atmospheric gas storage</t>
  </si>
  <si>
    <t>DOE TSD adder for 66 and 75 gal or attic install</t>
  </si>
  <si>
    <t>50 gal atmospheric gas storage</t>
  </si>
  <si>
    <t>60 gal atmospheric gas storage</t>
  </si>
  <si>
    <t>75 gal atmospheric gas storage</t>
  </si>
  <si>
    <t>100 gal atmospheric gas storage</t>
  </si>
  <si>
    <t>Natural gas / propane 3.2 - 9.5 GPM</t>
  </si>
  <si>
    <t>H = 0.1395(gpm) + 3.4545</t>
  </si>
  <si>
    <t>Natural gas / propane 3.2 GPM</t>
  </si>
  <si>
    <t>Natural gas / propane 6.4 GPM</t>
  </si>
  <si>
    <t>Natural gas / propane 8.4 GPM</t>
  </si>
  <si>
    <t>Natural gas / propane 9.5 GPM</t>
  </si>
  <si>
    <t>DOE TSD for electric WH</t>
  </si>
  <si>
    <t>Labor and non-equipment costs for venting adder (if needed)</t>
  </si>
  <si>
    <t>DOE TSD adder for HPWH</t>
  </si>
  <si>
    <t>DOE TSD adder for condensate pump</t>
  </si>
  <si>
    <t>DOE TSD adder for venting system (if needed)</t>
  </si>
  <si>
    <t>75 - 250 MBH, 73 - 245 GPH labor hours and rates</t>
  </si>
  <si>
    <t>H = 0.0655(MBH) - 0.3869</t>
  </si>
  <si>
    <t>75 MBH, 73 GPH</t>
  </si>
  <si>
    <t>260 - 725 MBH, 250 - 690 GPH  labor hours and rates</t>
  </si>
  <si>
    <t>H = 0.0153(MBH) + 15.304</t>
  </si>
  <si>
    <t>98 MBH, 95 GPH</t>
  </si>
  <si>
    <t>120 MBH, 110 GPH</t>
  </si>
  <si>
    <t>120 MBH, 115 GPH</t>
  </si>
  <si>
    <t>140 MBH, 130 GPH</t>
  </si>
  <si>
    <t>155 MBH, 150 GPH</t>
  </si>
  <si>
    <t>180 MBH, 170 GPH</t>
  </si>
  <si>
    <t>200 MBH, 192 GPH</t>
  </si>
  <si>
    <t>250 MBH, 245 GPH</t>
  </si>
  <si>
    <t>260 MBH, 250 GPH</t>
  </si>
  <si>
    <t>360 MBH, 360 GPH</t>
  </si>
  <si>
    <t>500 MBH, 480 GPH</t>
  </si>
  <si>
    <t>725 MBH, 690 GPH</t>
  </si>
  <si>
    <t>sensor</t>
  </si>
  <si>
    <t>Wall mounted labor</t>
  </si>
  <si>
    <t>Wall mounted / per sensor</t>
  </si>
  <si>
    <t>Wall mounted disposal and taxes</t>
  </si>
  <si>
    <t>Ceiling mounted /per sensor</t>
  </si>
  <si>
    <t>Ceiling mounted  labor</t>
  </si>
  <si>
    <t>Artificial bids, wall mounted</t>
  </si>
  <si>
    <t>Fixture integrated / per sensor</t>
  </si>
  <si>
    <t>Ceiling mounted disposal and taxes</t>
  </si>
  <si>
    <t>Artificial bids, cieling mounted</t>
  </si>
  <si>
    <t>Occupancy sensors, passive infrared ceiling mounted</t>
  </si>
  <si>
    <t>Fixture integrated labor</t>
  </si>
  <si>
    <t>Artificial bids, fixture integrated</t>
  </si>
  <si>
    <t>Occupancy sensors, ultrasonic ceiling mounted</t>
  </si>
  <si>
    <t>Fixture integrated disposal and taxes</t>
  </si>
  <si>
    <t>Occupancy sensors, dual technology ceiling mounted</t>
  </si>
  <si>
    <t>Occupancy sensors, automatic wall switches</t>
  </si>
  <si>
    <t>Artificial bid 1: Install 20 wall mounted occupancy sensors</t>
  </si>
  <si>
    <t>Artificial bid 2: Install 20 wall mounted occupancy sensors</t>
  </si>
  <si>
    <t>Artificial bid 3: Install 20 wall mounted occupancy sensors</t>
  </si>
  <si>
    <t>Artificial bid 4: Install 20 wall mounted occupancy sensors</t>
  </si>
  <si>
    <t>Artificial bid 5: Install 20 wall mounted occupancy sensors</t>
  </si>
  <si>
    <t>Artificial bid 1: Install 20 ceiling mounted occupancy sensors</t>
  </si>
  <si>
    <t>Artificial bid 2: Install 20 ceiling mounted occupancy sensors</t>
  </si>
  <si>
    <t>Artificial bid 3: Install 20 ceiling mounted occupancy sensors</t>
  </si>
  <si>
    <t>Artificial bid 4: Install 20 ceiling mounted occupancy sensors</t>
  </si>
  <si>
    <t>Artificial bid 5: Install 20 ceiling mounted occupancy sensors</t>
  </si>
  <si>
    <t>Artificial bid 6: Install 20 ceiling mounted occupancy sensors</t>
  </si>
  <si>
    <t>Artificial bid 7: Install 20 ceiling mounted occupancy sensors</t>
  </si>
  <si>
    <t>Artificial bid 1: Install 50 fixture integrated occupancy sensors</t>
  </si>
  <si>
    <t>Artificial bid 2: Install 50 fixture integrated occupancy sensors</t>
  </si>
  <si>
    <t>Artificial bid 3: Install 50 fixture integrated occupancy sensors</t>
  </si>
  <si>
    <t>Artificial bid 4: Install 50 fixture integrated occupancy sensors</t>
  </si>
  <si>
    <t>Artificial bid 5: Install 50 fixture integrated occupancy sensors</t>
  </si>
  <si>
    <t>Artificial bid 6: Install 50 fixture integrated occupancy sensors</t>
  </si>
  <si>
    <t>Labor Cost ($2017)</t>
  </si>
  <si>
    <t>ENERGY STAR, CEE Tier 1</t>
  </si>
  <si>
    <t>ENERGY STAR Most Efficient, CEE TIER 2</t>
  </si>
  <si>
    <t>CEE TIER 3</t>
  </si>
  <si>
    <t>Calculations with Clothes Washers Federal Standards (Jan 1, 2018 or after) as baseline</t>
  </si>
  <si>
    <t>Before Jan, 1, 2018</t>
  </si>
  <si>
    <t>Use link on Column D</t>
  </si>
  <si>
    <r>
      <t xml:space="preserve">Average Measure Equipment Cost per Unit ($2017) </t>
    </r>
    <r>
      <rPr>
        <b/>
        <i/>
        <sz val="11"/>
        <color theme="1"/>
        <rFont val="Calibri"/>
        <family val="2"/>
        <scheme val="minor"/>
      </rPr>
      <t>without</t>
    </r>
    <r>
      <rPr>
        <b/>
        <sz val="11"/>
        <color theme="1"/>
        <rFont val="Calibri"/>
        <family val="2"/>
        <scheme val="minor"/>
      </rPr>
      <t xml:space="preserve"> Labor</t>
    </r>
  </si>
  <si>
    <r>
      <t xml:space="preserve">Average Measure Equipment Cost per Unit ($2017) </t>
    </r>
    <r>
      <rPr>
        <b/>
        <i/>
        <sz val="11"/>
        <color theme="1"/>
        <rFont val="Calibri"/>
        <family val="2"/>
        <scheme val="minor"/>
      </rPr>
      <t>with</t>
    </r>
    <r>
      <rPr>
        <b/>
        <sz val="11"/>
        <color theme="1"/>
        <rFont val="Calibri"/>
        <family val="2"/>
        <scheme val="minor"/>
      </rPr>
      <t xml:space="preserve"> Labor</t>
    </r>
  </si>
  <si>
    <t>Average Incremental Cost per Unit ($2017) -TOS</t>
  </si>
  <si>
    <t>Average Incremental Cost per Ton ($2017) - with Labor</t>
  </si>
  <si>
    <t xml:space="preserve">Time Period </t>
  </si>
  <si>
    <t>After Jan, 1, 2018</t>
  </si>
  <si>
    <t>IMC source: Itron Measure Cost Study, 2014 Results Matrix VolumeII</t>
  </si>
  <si>
    <t xml:space="preserve">Mid-A TRM Efficiency Measure Conditions </t>
  </si>
  <si>
    <t xml:space="preserve">Mid Atlantic V6 Incremental Costs </t>
  </si>
  <si>
    <t>Mid-Atlantic TRM V6 Source</t>
  </si>
  <si>
    <t>Before Jan 1, 2018</t>
  </si>
  <si>
    <t>Calculations with Clothes Washers Federal Standards (Before Jan 1, 2018) as baseline</t>
  </si>
  <si>
    <t>Water-Cooled Screw Costs ($)  for Washington, D.C. and Delaware</t>
  </si>
  <si>
    <t>80% AFUE Gas Furnace Cost w/OEM ECM (100,000 btuh unit) including labor - Source DOE</t>
  </si>
  <si>
    <t>Energy Factor (Energy Star Minimum)</t>
  </si>
  <si>
    <t>Incremental Cost (2017 $)</t>
  </si>
  <si>
    <t>Calculated Measure Cost</t>
  </si>
  <si>
    <t>Lifecycle Retrofit/Early Replacement Incremental Cost Calculator - $2017</t>
  </si>
  <si>
    <t>Calculated Incremental Cost/ton  - Time of Sale/New Construction</t>
  </si>
  <si>
    <t xml:space="preserve">Efficiency kW/ton </t>
  </si>
  <si>
    <t>Lifecycle Retrofit/Early Replacement Incremental Cost/Ton (2017$)</t>
  </si>
  <si>
    <t>Calculated Incremental Cost/Ton</t>
  </si>
  <si>
    <t>Calculated Incremental Cost/Ton -$2017</t>
  </si>
  <si>
    <t xml:space="preserve">Baseline IEER </t>
  </si>
  <si>
    <t>Increased Efficiency - Higher IEER than base</t>
  </si>
  <si>
    <t xml:space="preserve"> Commercial  Unitary ASHP Systems - For Federal Standards See Unitary Heat Pump Air Cooled Sheet</t>
  </si>
  <si>
    <t>Calculated Baseline Costs</t>
  </si>
  <si>
    <t>Itron Incremental Cost is the built up average from built-up estimate (n=4). Materials - $420.95, Labor - $199.55, Total-  $620.50 - 2014 dollars; IMC source: Itron Measure Cost Study, 2014 Results Matrix VolumeII</t>
  </si>
  <si>
    <t>Itron Incremental Cost is the built up average from built-up estimate (n=6) Materials = $1212, Labor  = $762, Total - $1974.26 - 2014 dollars; IMC source: Itron Measure Cost Study, 2014 Results Matrix VolumeII</t>
  </si>
  <si>
    <t>RTF IMC is based on a 2006 prices that are converted to 2012 dollars  and then to 2017 dollars; IMC source: Itron Measure Cost Study, 2014 Results Matrix VolumeII</t>
  </si>
  <si>
    <t>Itron Incremental Cost is the Matched average in terms of per unit production capacity (lbs./hr.) IMC for unit w/70 lbs./hr. production capacity (roughly average for 14" vats) = $1,837. RTF IMC is based on a 2006 prices that are converted to 2012 dollars  and then to 2017 dollars; IMC source: Itron Measure Cost Study, 2014 Results Matrix VolumeII</t>
  </si>
  <si>
    <t>Itron Incremental Cost is the Matched average in terms of per unit production capacity (lbs./hr.).  IMC for unit w/70 lbs./hr. production capacity (roughly average for 14" vats) = $1,722; IMC source: Itron Measure Cost Study, 2014 Results Matrix VolumeII</t>
  </si>
  <si>
    <t>See Residential Heat Pump Water Heater</t>
  </si>
  <si>
    <t xml:space="preserve">See Electric Chillers Air-Cooled Early Replacement </t>
  </si>
  <si>
    <t xml:space="preserve">See Electric Chillers Air-Cooled Time of Sale </t>
  </si>
  <si>
    <t>See Electric Chillers Water-Cooled ER</t>
  </si>
  <si>
    <t xml:space="preserve">See Electric Chillers Water-Cooled Time of Sale </t>
  </si>
  <si>
    <t>Calculated Measure Costs</t>
  </si>
  <si>
    <t xml:space="preserve">Efficiency Level </t>
  </si>
  <si>
    <t>Itron Baseline Cost* Midpoint of Btuh used</t>
  </si>
  <si>
    <t>Itron Efficient Measure Cost * Midpoint of Btuh used</t>
  </si>
  <si>
    <t>Itron Recommendations</t>
  </si>
  <si>
    <t>Discussion</t>
  </si>
  <si>
    <t>TRM Version 6.0 Information</t>
  </si>
  <si>
    <t>Itron Background Calculations</t>
  </si>
  <si>
    <t>Itron Incremental Cost Non-Regression ($2017)</t>
  </si>
  <si>
    <t xml:space="preserve">TRM Recommendation </t>
  </si>
  <si>
    <t>Occupancy Sensor (w/o Ultrasonic)</t>
  </si>
  <si>
    <t>Average IMC with Labor (2017$)</t>
  </si>
  <si>
    <t>Volts</t>
  </si>
  <si>
    <t>Measure Cost (No Labor)</t>
  </si>
  <si>
    <t>Measure Cost (No Labor) ( 2017$)</t>
  </si>
  <si>
    <t>Average IMC (No Labor)</t>
  </si>
  <si>
    <t>Average IMC (No Labor) (2017$)</t>
  </si>
  <si>
    <t xml:space="preserve">Mount type </t>
  </si>
  <si>
    <t xml:space="preserve">ultrasonic </t>
  </si>
  <si>
    <t>Average IMC (with Labor)</t>
  </si>
  <si>
    <t>Wall</t>
  </si>
  <si>
    <t>Ceiling</t>
  </si>
  <si>
    <t>Occupancy Sensor (with Ultrasonic)</t>
  </si>
  <si>
    <t>Mount</t>
  </si>
  <si>
    <t>Wall Mounted</t>
  </si>
  <si>
    <t>Ceiling Mounted</t>
  </si>
  <si>
    <t>Fixture Integrated</t>
  </si>
  <si>
    <t xml:space="preserve">See Residential ASHP </t>
  </si>
  <si>
    <t>ASHP IMC</t>
  </si>
  <si>
    <t>See Residential CAC</t>
  </si>
  <si>
    <t>IMC Calculations - TOS</t>
  </si>
  <si>
    <t xml:space="preserve">See Residential Clothes Washer </t>
  </si>
  <si>
    <t xml:space="preserve">See VFD </t>
  </si>
  <si>
    <t>Early Replacement Cost per Unit ($2013)</t>
  </si>
  <si>
    <t xml:space="preserve">Consider using Itron values which are revised to reflect changes in federal standards and inflation.  Itron values are provided for multiple efficiency levels and capacities, with and without ECM fans and with and without 80 AFUE furnaces  (ECMs are required to achieve SEER 16).    </t>
  </si>
  <si>
    <t xml:space="preserve">Consider using Itron values which are revised to reflect changes in federal standards and inflation, and are provided for multiple efficiency levels and capacities.    </t>
  </si>
  <si>
    <t>This needs further discussion. Itron values are much lower than TRM V.6 values and values currently used in the Energy Star calculator, which cites "Cadmus research in available models, 2016." For Time of Sale, the Energy Star calculator gives incremental costs of $200 for front-loading units and $200 for top-loading units.</t>
  </si>
  <si>
    <t>Freezer</t>
  </si>
  <si>
    <t xml:space="preserve">No new data is available.  Energy Star refrigerator incremental costs are roughly half what they were prior to 2014 standards changes (see Refrigerator measure for sources). Assuming similar trend for freezers, consider halving the pre-2014 value of $36.  </t>
  </si>
  <si>
    <t xml:space="preserve">From TRM V6 </t>
  </si>
  <si>
    <t>PV Real Levelized Carrying Charge for New Refrigerator</t>
  </si>
  <si>
    <t>PV Real Levelized Carrying Charge for Existing Refrigerator</t>
  </si>
  <si>
    <t>Initial Measure Cost</t>
  </si>
  <si>
    <t>PV Real Levelized Carrying Charge for Existing DSHP</t>
  </si>
  <si>
    <t>PV Real Levelized Carrying Charge for New DSHP</t>
  </si>
  <si>
    <t xml:space="preserve">Lifecycle Retrofit/Early Replacement Incremental Cost </t>
  </si>
  <si>
    <t>Baseline Cost (assumes ASHP)</t>
  </si>
  <si>
    <t xml:space="preserve">Homewyse.com calculator gives ~$400 difference between SEER 15 and SEER 20 units, with total installed cost for SEER 15 about $6k and SEER 20 at $6.4k, assuming 18kBTU (1.5 ton) capacity units.  These values assume increemntal costs are proportinal to capacity.  Homewyse values are based on four distributor web sites, which are listed on Homewyse webpage (see https://www.homewyse.com/costs/cost_of_ductless_heat_pump_systems.html).  </t>
  </si>
  <si>
    <t>Time of Sale Incremental Cost (1)</t>
  </si>
  <si>
    <t xml:space="preserve">ASHP Labor Adjusted for Maryland Labor Rates </t>
  </si>
  <si>
    <t>Incremental Cost Calculations ($2017)</t>
  </si>
  <si>
    <t xml:space="preserve"> CEER Tier 3 Calculated Cost ($2017)</t>
  </si>
  <si>
    <t>TOS - Tier 3 ($2017)</t>
  </si>
  <si>
    <t>ER - Tier 3 ($2017)</t>
  </si>
  <si>
    <t xml:space="preserve">Efficient Condition - Tier 2 Maximum Energy Usage in kWh/year - Calculation Based on definition of CEER tier 2 (15% less energy than required by the federal standard) provided in TRM </t>
  </si>
  <si>
    <t xml:space="preserve">Efficient Condition - Tier 3 Maximum Energy Usage in kWh/year - Calculation Based on definition of CEER tier 3 (20% less energy than required by the federal standard) provided in TRM </t>
  </si>
  <si>
    <t>Calculated Tier 3 Cost</t>
  </si>
  <si>
    <t>TOS - CEER 3</t>
  </si>
  <si>
    <t>TOS - CEE 3</t>
  </si>
  <si>
    <t>TOS - CEE 2</t>
  </si>
  <si>
    <t xml:space="preserve">Commercial HP Labor </t>
  </si>
  <si>
    <t>Lifecycle Retrofit/Early Replacement Incremental Cost/ Per Ton</t>
  </si>
  <si>
    <t>Full Measure Costs</t>
  </si>
  <si>
    <t xml:space="preserve">For Reference Only </t>
  </si>
  <si>
    <t xml:space="preserve">See Res Mini Ductless Heat Pump </t>
  </si>
  <si>
    <t xml:space="preserve">$1,338 for 40-gallon units , $2,253 for 60-gallon units.  </t>
  </si>
  <si>
    <t xml:space="preserve">Early Replacement Calculator </t>
  </si>
  <si>
    <t xml:space="preserve">Calculated Baseline Cost </t>
  </si>
  <si>
    <t xml:space="preserve"> CEE Tier 2 IMC with IECC 2015 as Baseline</t>
  </si>
  <si>
    <t>Early Replacement Costs</t>
  </si>
  <si>
    <t>Revelvant Catagories with Fedral Standard Changes. Baseline is Fedral Standard Change Jan 1, 2018 or Later.</t>
  </si>
  <si>
    <t xml:space="preserve">Split System </t>
  </si>
  <si>
    <t xml:space="preserve">Packaged System </t>
  </si>
  <si>
    <t xml:space="preserve"> CEE Tier 2 IMC with IECC 2012 as Baseline</t>
  </si>
  <si>
    <t>This Measure the same  as the IECC 2015 baseline.</t>
  </si>
  <si>
    <t>Single-Packaged</t>
  </si>
  <si>
    <t xml:space="preserve">SubCatagory </t>
  </si>
  <si>
    <t>Full Cost of Efficient Equipment ($/ton)</t>
  </si>
  <si>
    <t xml:space="preserve"> CEE Tier 1 IMC (IECC 2015 as Baseline) </t>
  </si>
  <si>
    <t>2018 Federal Standard Changes - On or After 2018</t>
  </si>
  <si>
    <t>Calculated cost with IIER in place of EER for Comparrison with on or After Jan 1, 2018 Standard Changes</t>
  </si>
  <si>
    <t xml:space="preserve">Unitary AC </t>
  </si>
  <si>
    <t>Base Case Equipment Cost ($2017)</t>
  </si>
  <si>
    <t>IMC</t>
  </si>
  <si>
    <t xml:space="preserve"> Category </t>
  </si>
  <si>
    <t>Packaged</t>
  </si>
  <si>
    <t>Base Case Equipment Cost per Ton - IECC 2015 ($2017)</t>
  </si>
  <si>
    <t>Base Case Equipment Cost per Ton - IECC 2012 ($2017)</t>
  </si>
  <si>
    <t>Measure Equipment Cost per Ton CEE Tier 2 - ($2017)</t>
  </si>
  <si>
    <t xml:space="preserve">Recommended Incremental Costs </t>
  </si>
  <si>
    <t>TOS per Ton - IECC 2015 ($2017)</t>
  </si>
  <si>
    <t>TOS per Ton - IECC 2012 ($2017)</t>
  </si>
  <si>
    <t>Full Cost of Efficient Equipment</t>
  </si>
  <si>
    <t xml:space="preserve">Size Category </t>
  </si>
  <si>
    <t xml:space="preserve">Sub Category </t>
  </si>
  <si>
    <t>TOS per Ton - If Federal Standards change on Jan 1, 2018 ($2017)</t>
  </si>
  <si>
    <t>ER per Ton - If Federal Standards change on Jan 1, 2018 ($2017)</t>
  </si>
  <si>
    <t>If Federal Standards change on Jan 1, 2018 ($2017)  ($/ton)</t>
  </si>
  <si>
    <t>Relevant Categories with Federal Standard Changes. Baseline is Federal Standard Change Jan 1, 2018 or Later.</t>
  </si>
  <si>
    <t xml:space="preserve">Measure Calculations Based Federal Standards - On or After Jan 1 , 2017 </t>
  </si>
  <si>
    <t xml:space="preserve"> Equipment Cost per Ton - If federal Standards change on Jan 1, 2018 ($2017) - ($2017) - Calculated with IEER </t>
  </si>
  <si>
    <t>Base Case Equipment Cost per Ton - If Federal Standards change on Jan 1, 2018 ($2017) - Calculated with IEER</t>
  </si>
  <si>
    <t>Measure Equipment Cost per Ton CEE Tier 1 - ($2017)</t>
  </si>
  <si>
    <t>Recommended Incremental Costs</t>
  </si>
  <si>
    <t xml:space="preserve">Product Type and Class (Btu/hour) </t>
  </si>
  <si>
    <r>
      <t xml:space="preserve">Lifecycle Retrofit/Early Replacement Incremental Cost - Energy Star </t>
    </r>
    <r>
      <rPr>
        <b/>
        <i/>
        <sz val="14"/>
        <color theme="1"/>
        <rFont val="Calibri"/>
        <family val="2"/>
        <scheme val="minor"/>
      </rPr>
      <t>without</t>
    </r>
    <r>
      <rPr>
        <sz val="12"/>
        <color theme="1"/>
        <rFont val="Calibri"/>
        <family val="2"/>
        <scheme val="minor"/>
      </rPr>
      <t xml:space="preserve"> Louvered Sides</t>
    </r>
  </si>
  <si>
    <r>
      <t xml:space="preserve">Lifecycle Retrofit/Early Replacement Incremental Cost - Energy Star </t>
    </r>
    <r>
      <rPr>
        <b/>
        <i/>
        <sz val="14"/>
        <color theme="1"/>
        <rFont val="Calibri"/>
        <family val="2"/>
        <scheme val="minor"/>
      </rPr>
      <t>with</t>
    </r>
    <r>
      <rPr>
        <sz val="12"/>
        <color theme="1"/>
        <rFont val="Calibri"/>
        <family val="2"/>
        <scheme val="minor"/>
      </rPr>
      <t xml:space="preserve"> Louvered Sides</t>
    </r>
  </si>
  <si>
    <t xml:space="preserve"> N/A </t>
  </si>
  <si>
    <t>Water-Cooled Scroll/Screw Chiller Incremental Costs ($/Ton) for Washington, D.C. and Delaware</t>
  </si>
  <si>
    <t>Water-Cooled Scroll/Screw Chiller Incremental Costs ($/Ton) for Maryland</t>
  </si>
  <si>
    <t>Water-Cooled Centrifugal Chiller Incremental Costs ($/Ton) for Washington, D.C. and Delaware</t>
  </si>
  <si>
    <t>Water-Cooled Centrifugal Chiller Incremental Costs ($/Ton) for Maryland</t>
  </si>
  <si>
    <t xml:space="preserve">Screw-Scroll </t>
  </si>
  <si>
    <t xml:space="preserve">Centrifugal </t>
  </si>
  <si>
    <t xml:space="preserve">See Commercial AC </t>
  </si>
  <si>
    <t>See Commercial HP</t>
  </si>
  <si>
    <t xml:space="preserve">This measure needs further discussion. Itron values are much lower than TRM V.6 values, EmPOWER rebates, and Energy Star calculator values.  Energy Star which cites "Cadmus research in available models, 2016." This is based on Cadmus review in 2015 of 4 retailer websites - Sears, Home Depot, Lowes Best Buy.  Energy Star criteria is less stringent than the CEE/BGE rebate requirements, which suggests the incremental cost of  CEE Tier 3 units would be even higher. For Time of Sale, the Energy Star calculator gives incremental costs of $50 for front-loading units and $190 for top-loading units. </t>
  </si>
  <si>
    <t>Cost per Ton</t>
  </si>
  <si>
    <t>SEER 15</t>
  </si>
  <si>
    <t>SEER 16</t>
  </si>
  <si>
    <t>SEER 17</t>
  </si>
  <si>
    <t>SEER 18</t>
  </si>
  <si>
    <t>SEER 19</t>
  </si>
  <si>
    <t>SEER 20</t>
  </si>
  <si>
    <t>SEER 21</t>
  </si>
  <si>
    <t xml:space="preserve">TOS </t>
  </si>
  <si>
    <t>ER</t>
  </si>
  <si>
    <t>Res CAC</t>
  </si>
  <si>
    <t>See TRM V6 Res CAC</t>
  </si>
  <si>
    <t>Federal Standards change on Jan 1, 2018 ($2017)  ($/ton)</t>
  </si>
  <si>
    <t>After Jan 1,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</si>
</sst>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00"/>
    <numFmt numFmtId="166" formatCode="&quot;$&quot;#,##0.00"/>
    <numFmt numFmtId="167" formatCode="_(* #,##0_);_(* \(#,##0\);_(* &quot;-&quot;??_);_(@_)"/>
    <numFmt numFmtId="168" formatCode="m/d/\ h:mm"/>
    <numFmt numFmtId="169" formatCode="&quot;$&quot;#,##0"/>
    <numFmt numFmtId="170" formatCode="_(&quot;$&quot;* #,##0_);_(&quot;$&quot;* \(#,##0\);_(&quot;$&quot;* &quot;-&quot;??_);_(@_)"/>
    <numFmt numFmtId="171" formatCode="0.0000"/>
    <numFmt numFmtId="172" formatCode="0.0%"/>
    <numFmt numFmtId="175" formatCode="_([$$-409]* #,##0_);_([$$-409]* \(#,##0\);_([$$-409]* &quot;-&quot;??_);_(@_)"/>
  </numFmts>
  <fonts count="116">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2"/>
      <color theme="1"/>
      <name val="Trebuchet MS"/>
      <family val="2"/>
    </font>
    <font>
      <b/>
      <sz val="12"/>
      <color theme="1"/>
      <name val="Trebuchet MS"/>
      <family val="2"/>
    </font>
    <font>
      <sz val="12"/>
      <color theme="1"/>
      <name val="Calibri"/>
      <family val="2"/>
      <scheme val="minor"/>
    </font>
    <font>
      <b/>
      <sz val="10"/>
      <color rgb="FF000000"/>
      <name val="Trebuchet MS"/>
      <family val="2"/>
    </font>
    <font>
      <sz val="10"/>
      <color rgb="FF000000"/>
      <name val="Trebuchet MS"/>
      <family val="2"/>
    </font>
    <font>
      <b/>
      <sz val="12"/>
      <color theme="1"/>
      <name val="Calibri"/>
      <family val="2"/>
      <scheme val="minor"/>
    </font>
    <font>
      <b/>
      <sz val="10"/>
      <color theme="1"/>
      <name val="Trebuchet MS"/>
      <family val="2"/>
    </font>
    <font>
      <sz val="10"/>
      <color theme="1"/>
      <name val="Calibri"/>
      <family val="2"/>
      <scheme val="minor"/>
    </font>
    <font>
      <sz val="11"/>
      <color rgb="FF000000"/>
      <name val="Trebuchet MS"/>
      <family val="2"/>
    </font>
    <font>
      <sz val="10"/>
      <color theme="1"/>
      <name val="Trebuchet MS"/>
      <family val="2"/>
    </font>
    <font>
      <vertAlign val="superscript"/>
      <sz val="10"/>
      <color theme="1"/>
      <name val="Trebuchet MS"/>
      <family val="2"/>
    </font>
    <font>
      <sz val="10"/>
      <name val="Trebuchet MS"/>
      <family val="2"/>
    </font>
    <font>
      <sz val="11"/>
      <name val="Calibri"/>
      <family val="2"/>
      <scheme val="minor"/>
    </font>
    <font>
      <sz val="12"/>
      <name val="Trebuchet MS"/>
      <family val="2"/>
    </font>
    <font>
      <sz val="16"/>
      <color theme="1"/>
      <name val="Calibri"/>
      <family val="2"/>
      <scheme val="minor"/>
    </font>
    <font>
      <sz val="18"/>
      <color theme="1"/>
      <name val="Calibri"/>
      <family val="2"/>
      <scheme val="minor"/>
    </font>
    <font>
      <b/>
      <sz val="9"/>
      <color indexed="81"/>
      <name val="Tahoma"/>
      <family val="2"/>
    </font>
    <font>
      <sz val="9"/>
      <color indexed="81"/>
      <name val="Tahoma"/>
      <family val="2"/>
    </font>
    <font>
      <sz val="11"/>
      <color rgb="FF000000"/>
      <name val="Calibri"/>
      <family val="2"/>
      <scheme val="minor"/>
    </font>
    <font>
      <sz val="9"/>
      <color theme="1"/>
      <name val="Trebuchet MS"/>
      <family val="2"/>
    </font>
    <font>
      <b/>
      <sz val="9"/>
      <color theme="1"/>
      <name val="Calibri"/>
      <family val="2"/>
      <scheme val="minor"/>
    </font>
    <font>
      <sz val="9"/>
      <color theme="1"/>
      <name val="Calibri"/>
      <family val="2"/>
      <scheme val="minor"/>
    </font>
    <font>
      <b/>
      <sz val="9"/>
      <color rgb="FFFFFFFF"/>
      <name val="Calibri"/>
      <family val="2"/>
      <scheme val="minor"/>
    </font>
    <font>
      <sz val="10"/>
      <name val="Arial"/>
      <family val="2"/>
    </font>
    <font>
      <sz val="10"/>
      <name val="Arial"/>
      <family val="2"/>
    </font>
    <font>
      <b/>
      <sz val="10"/>
      <color indexed="9"/>
      <name val="Arial"/>
      <family val="2"/>
    </font>
    <font>
      <u/>
      <sz val="10"/>
      <color indexed="12"/>
      <name val="Arial"/>
      <family val="2"/>
    </font>
    <font>
      <sz val="12"/>
      <name val="Times New Roman"/>
      <family val="1"/>
    </font>
    <font>
      <b/>
      <sz val="12"/>
      <name val="Times New Roman"/>
      <family val="1"/>
    </font>
    <font>
      <sz val="8"/>
      <name val="Arial"/>
      <family val="2"/>
    </font>
    <font>
      <sz val="11"/>
      <color indexed="8"/>
      <name val="Calibri"/>
      <family val="2"/>
    </font>
    <font>
      <b/>
      <sz val="11"/>
      <color indexed="8"/>
      <name val="Calibri"/>
      <family val="2"/>
    </font>
    <font>
      <sz val="10"/>
      <name val="MS Sans Serif"/>
      <family val="2"/>
    </font>
    <font>
      <b/>
      <sz val="11"/>
      <color indexed="56"/>
      <name val="Calibri"/>
      <family val="2"/>
    </font>
    <font>
      <sz val="11"/>
      <color indexed="9"/>
      <name val="Calibri"/>
      <family val="2"/>
    </font>
    <font>
      <u/>
      <sz val="10"/>
      <color theme="10"/>
      <name val="Arial"/>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6"/>
      <color theme="1"/>
      <name val="Calibri"/>
      <family val="2"/>
      <scheme val="minor"/>
    </font>
    <font>
      <b/>
      <sz val="22"/>
      <color theme="1"/>
      <name val="Calibri"/>
      <family val="2"/>
      <scheme val="minor"/>
    </font>
    <font>
      <b/>
      <sz val="9"/>
      <color theme="1"/>
      <name val="Trebuchet MS"/>
      <family val="2"/>
    </font>
    <font>
      <u/>
      <sz val="11"/>
      <color theme="10"/>
      <name val="Calibri"/>
      <family val="2"/>
    </font>
    <font>
      <b/>
      <sz val="13"/>
      <color indexed="56"/>
      <name val="Calibri"/>
      <family val="2"/>
    </font>
    <font>
      <u/>
      <sz val="8.25"/>
      <color theme="10"/>
      <name val="Calibri"/>
      <family val="2"/>
    </font>
    <font>
      <b/>
      <sz val="18"/>
      <color theme="3"/>
      <name val="Calibri Light"/>
      <family val="2"/>
      <scheme val="major"/>
    </font>
    <font>
      <sz val="10"/>
      <name val="Verdana"/>
      <family val="2"/>
    </font>
    <font>
      <u/>
      <sz val="8.8000000000000007"/>
      <color theme="10"/>
      <name val="Calibri"/>
      <family val="2"/>
    </font>
    <font>
      <b/>
      <sz val="11"/>
      <color rgb="FF000000"/>
      <name val="Trebuchet MS"/>
      <family val="2"/>
    </font>
    <font>
      <b/>
      <sz val="14"/>
      <color theme="1"/>
      <name val="Calibri"/>
      <family val="2"/>
      <scheme val="minor"/>
    </font>
    <font>
      <b/>
      <sz val="12"/>
      <name val="Trebuchet MS"/>
      <family val="2"/>
    </font>
    <font>
      <b/>
      <sz val="11"/>
      <name val="Times New Roman"/>
      <family val="1"/>
    </font>
    <font>
      <b/>
      <vertAlign val="superscript"/>
      <sz val="11"/>
      <name val="Times New Roman"/>
      <family val="1"/>
    </font>
    <font>
      <i/>
      <sz val="11"/>
      <color theme="1"/>
      <name val="Calibri"/>
      <family val="2"/>
      <scheme val="minor"/>
    </font>
    <font>
      <b/>
      <sz val="12"/>
      <color theme="1"/>
      <name val="Arial"/>
      <family val="2"/>
    </font>
    <font>
      <sz val="9"/>
      <color theme="1"/>
      <name val="Times New Roman"/>
      <family val="1"/>
    </font>
    <font>
      <sz val="10"/>
      <color theme="1"/>
      <name val="Arial Narrow"/>
      <family val="2"/>
    </font>
    <font>
      <b/>
      <sz val="20"/>
      <color theme="1"/>
      <name val="Calibri"/>
      <family val="2"/>
      <scheme val="minor"/>
    </font>
    <font>
      <sz val="18"/>
      <name val="Calibri"/>
      <family val="2"/>
      <scheme val="minor"/>
    </font>
    <font>
      <u/>
      <sz val="18"/>
      <color theme="10"/>
      <name val="Calibri"/>
      <family val="2"/>
      <scheme val="minor"/>
    </font>
    <font>
      <b/>
      <sz val="16"/>
      <color indexed="81"/>
      <name val="Tahoma"/>
      <family val="2"/>
    </font>
    <font>
      <sz val="16"/>
      <color indexed="81"/>
      <name val="Tahoma"/>
      <family val="2"/>
    </font>
    <font>
      <u/>
      <sz val="16"/>
      <color theme="10"/>
      <name val="Calibri"/>
      <family val="2"/>
      <scheme val="minor"/>
    </font>
    <font>
      <sz val="14"/>
      <color theme="1"/>
      <name val="Calibri"/>
      <family val="2"/>
      <scheme val="minor"/>
    </font>
    <font>
      <sz val="14"/>
      <name val="Calibri"/>
      <family val="2"/>
      <scheme val="minor"/>
    </font>
    <font>
      <b/>
      <sz val="14"/>
      <name val="Trebuchet MS"/>
      <family val="2"/>
    </font>
    <font>
      <sz val="10"/>
      <name val="Calibri"/>
      <family val="2"/>
      <scheme val="minor"/>
    </font>
    <font>
      <b/>
      <i/>
      <sz val="12"/>
      <color theme="1"/>
      <name val="Calibri"/>
      <family val="2"/>
      <scheme val="minor"/>
    </font>
    <font>
      <b/>
      <i/>
      <sz val="11"/>
      <color theme="1"/>
      <name val="Calibri"/>
      <family val="2"/>
      <scheme val="minor"/>
    </font>
    <font>
      <b/>
      <sz val="18"/>
      <color theme="1"/>
      <name val="Calibri"/>
      <family val="2"/>
      <scheme val="minor"/>
    </font>
    <font>
      <sz val="16"/>
      <name val="Calibri"/>
      <family val="2"/>
      <scheme val="minor"/>
    </font>
    <font>
      <sz val="20"/>
      <color theme="1"/>
      <name val="Calibri"/>
      <family val="2"/>
      <scheme val="minor"/>
    </font>
    <font>
      <b/>
      <sz val="14"/>
      <color theme="0"/>
      <name val="Calibri"/>
      <family val="2"/>
      <scheme val="minor"/>
    </font>
    <font>
      <b/>
      <sz val="18"/>
      <color theme="0"/>
      <name val="Calibri"/>
      <family val="2"/>
      <scheme val="minor"/>
    </font>
    <font>
      <sz val="11"/>
      <color indexed="8"/>
      <name val="Calibri"/>
      <family val="2"/>
      <scheme val="minor"/>
    </font>
    <font>
      <sz val="10"/>
      <name val="Arial, Albany AMT, Helvetica"/>
    </font>
    <font>
      <b/>
      <sz val="11"/>
      <color rgb="FFFF0000"/>
      <name val="Calibri"/>
      <family val="2"/>
      <scheme val="minor"/>
    </font>
    <font>
      <b/>
      <sz val="14"/>
      <color theme="1"/>
      <name val="Trebuchet MS"/>
      <family val="2"/>
    </font>
    <font>
      <sz val="16"/>
      <color theme="1"/>
      <name val="Trebuchet MS"/>
      <family val="2"/>
    </font>
    <font>
      <sz val="16"/>
      <color rgb="FF000000"/>
      <name val="Segoe UI"/>
      <family val="2"/>
    </font>
    <font>
      <sz val="16"/>
      <name val="Trebuchet MS"/>
      <family val="2"/>
    </font>
    <font>
      <sz val="10"/>
      <color rgb="FF000000"/>
      <name val="Calibri"/>
      <family val="2"/>
      <scheme val="minor"/>
    </font>
    <font>
      <b/>
      <sz val="11"/>
      <color theme="1"/>
      <name val="Trebuchet MS"/>
      <family val="2"/>
    </font>
    <font>
      <sz val="11"/>
      <color theme="1"/>
      <name val="Trebuchet MS"/>
      <family val="2"/>
    </font>
    <font>
      <sz val="16"/>
      <name val="Arial"/>
      <family val="2"/>
    </font>
    <font>
      <b/>
      <i/>
      <sz val="14"/>
      <color theme="1"/>
      <name val="Calibri"/>
      <family val="2"/>
      <scheme val="minor"/>
    </font>
    <font>
      <u/>
      <sz val="14"/>
      <color theme="10"/>
      <name val="Calibri"/>
      <family val="2"/>
      <scheme val="minor"/>
    </font>
    <font>
      <b/>
      <sz val="12"/>
      <color rgb="FFFFFFFF"/>
      <name val="Trebuchet MS"/>
      <family val="2"/>
    </font>
  </fonts>
  <fills count="83">
    <fill>
      <patternFill patternType="none"/>
    </fill>
    <fill>
      <patternFill patternType="gray125"/>
    </fill>
    <fill>
      <patternFill patternType="solid">
        <fgColor theme="2" tint="-9.9978637043366805E-2"/>
        <bgColor indexed="64"/>
      </patternFill>
    </fill>
    <fill>
      <patternFill patternType="solid">
        <fgColor theme="7"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7F7F7F"/>
        <bgColor indexed="64"/>
      </patternFill>
    </fill>
    <fill>
      <patternFill patternType="solid">
        <fgColor rgb="FFFFFFFF"/>
        <bgColor indexed="64"/>
      </patternFill>
    </fill>
    <fill>
      <patternFill patternType="solid">
        <fgColor rgb="FFBFBFBF"/>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FFFF00"/>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C000"/>
        <bgColor indexed="64"/>
      </patternFill>
    </fill>
    <fill>
      <patternFill patternType="solid">
        <fgColor indexed="9"/>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65"/>
        <bgColor indexed="64"/>
      </patternFill>
    </fill>
    <fill>
      <patternFill patternType="solid">
        <fgColor theme="0" tint="-0.14996795556505021"/>
        <bgColor indexed="64"/>
      </patternFill>
    </fill>
    <fill>
      <patternFill patternType="solid">
        <fgColor theme="3"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diagonal/>
    </border>
    <border>
      <left style="medium">
        <color indexed="64"/>
      </left>
      <right style="thin">
        <color auto="1"/>
      </right>
      <top style="medium">
        <color indexed="64"/>
      </top>
      <bottom/>
      <diagonal/>
    </border>
    <border>
      <left style="thin">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bottom/>
      <diagonal/>
    </border>
    <border>
      <left/>
      <right/>
      <top/>
      <bottom style="thick">
        <color indexed="22"/>
      </bottom>
      <diagonal/>
    </border>
    <border>
      <left/>
      <right/>
      <top/>
      <bottom style="medium">
        <color indexed="64"/>
      </bottom>
      <diagonal/>
    </border>
    <border>
      <left/>
      <right style="thin">
        <color indexed="64"/>
      </right>
      <top style="thin">
        <color indexed="64"/>
      </top>
      <bottom/>
      <diagonal/>
    </border>
    <border>
      <left/>
      <right/>
      <top style="thin">
        <color indexed="64"/>
      </top>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auto="1"/>
      </left>
      <right style="thick">
        <color auto="1"/>
      </right>
      <top style="medium">
        <color indexed="64"/>
      </top>
      <bottom/>
      <diagonal/>
    </border>
    <border>
      <left style="medium">
        <color auto="1"/>
      </left>
      <right style="thick">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auto="1"/>
      </left>
      <right style="thick">
        <color auto="1"/>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ck">
        <color auto="1"/>
      </right>
      <top/>
      <bottom style="thin">
        <color indexed="64"/>
      </bottom>
      <diagonal/>
    </border>
    <border>
      <left style="medium">
        <color auto="1"/>
      </left>
      <right style="thick">
        <color auto="1"/>
      </right>
      <top style="thin">
        <color indexed="64"/>
      </top>
      <bottom style="thin">
        <color indexed="64"/>
      </bottom>
      <diagonal/>
    </border>
    <border>
      <left style="thin">
        <color indexed="64"/>
      </left>
      <right style="thin">
        <color rgb="FF4F493B"/>
      </right>
      <top style="thin">
        <color indexed="64"/>
      </top>
      <bottom style="thin">
        <color indexed="64"/>
      </bottom>
      <diagonal/>
    </border>
    <border>
      <left style="medium">
        <color indexed="64"/>
      </left>
      <right style="thick">
        <color auto="1"/>
      </right>
      <top style="thin">
        <color indexed="64"/>
      </top>
      <bottom/>
      <diagonal/>
    </border>
    <border>
      <left/>
      <right/>
      <top/>
      <bottom style="medium">
        <color auto="1"/>
      </bottom>
      <diagonal/>
    </border>
    <border>
      <left/>
      <right style="thin">
        <color rgb="FF4F493B"/>
      </right>
      <top/>
      <bottom style="thin">
        <color rgb="FF4F493B"/>
      </bottom>
      <diagonal/>
    </border>
    <border>
      <left/>
      <right/>
      <top/>
      <bottom style="thin">
        <color rgb="FF4F493B"/>
      </bottom>
      <diagonal/>
    </border>
    <border>
      <left style="medium">
        <color indexed="64"/>
      </left>
      <right style="thin">
        <color rgb="FF4F493B"/>
      </right>
      <top/>
      <bottom style="thin">
        <color rgb="FF4F493B"/>
      </bottom>
      <diagonal/>
    </border>
    <border>
      <left style="medium">
        <color indexed="64"/>
      </left>
      <right style="thick">
        <color auto="1"/>
      </right>
      <top/>
      <bottom/>
      <diagonal/>
    </border>
    <border>
      <left style="medium">
        <color auto="1"/>
      </left>
      <right style="thick">
        <color auto="1"/>
      </right>
      <top style="thin">
        <color indexed="64"/>
      </top>
      <bottom style="medium">
        <color indexed="64"/>
      </bottom>
      <diagonal/>
    </border>
    <border>
      <left style="medium">
        <color auto="1"/>
      </left>
      <right style="thick">
        <color auto="1"/>
      </right>
      <top style="medium">
        <color indexed="64"/>
      </top>
      <bottom style="thin">
        <color indexed="64"/>
      </bottom>
      <diagonal/>
    </border>
    <border>
      <left/>
      <right style="thin">
        <color rgb="FF4F493B"/>
      </right>
      <top/>
      <bottom/>
      <diagonal/>
    </border>
    <border>
      <left/>
      <right style="thin">
        <color indexed="64"/>
      </right>
      <top style="medium">
        <color indexed="64"/>
      </top>
      <bottom style="thin">
        <color indexed="64"/>
      </bottom>
      <diagonal/>
    </border>
    <border>
      <left style="thick">
        <color auto="1"/>
      </left>
      <right style="thin">
        <color indexed="64"/>
      </right>
      <top style="thin">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ck">
        <color auto="1"/>
      </left>
      <right/>
      <top/>
      <bottom/>
      <diagonal/>
    </border>
    <border>
      <left style="thick">
        <color auto="1"/>
      </left>
      <right/>
      <top/>
      <bottom style="medium">
        <color indexed="64"/>
      </bottom>
      <diagonal/>
    </border>
    <border>
      <left style="thin">
        <color rgb="FF4F493B"/>
      </left>
      <right style="thin">
        <color rgb="FF4F493B"/>
      </right>
      <top style="thin">
        <color indexed="64"/>
      </top>
      <bottom style="thin">
        <color rgb="FF4F493B"/>
      </bottom>
      <diagonal/>
    </border>
    <border>
      <left style="thin">
        <color rgb="FF4F493B"/>
      </left>
      <right style="thin">
        <color rgb="FF4F493B"/>
      </right>
      <top style="thin">
        <color rgb="FF4F493B"/>
      </top>
      <bottom style="thin">
        <color rgb="FF4F493B"/>
      </bottom>
      <diagonal/>
    </border>
    <border>
      <left style="thin">
        <color indexed="64"/>
      </left>
      <right style="thin">
        <color rgb="FF4F493B"/>
      </right>
      <top/>
      <bottom style="thin">
        <color rgb="FF4F493B"/>
      </bottom>
      <diagonal/>
    </border>
    <border>
      <left style="thin">
        <color rgb="FF4F493B"/>
      </left>
      <right/>
      <top style="thin">
        <color rgb="FF4F493B"/>
      </top>
      <bottom/>
      <diagonal/>
    </border>
    <border>
      <left style="thin">
        <color rgb="FF4F493B"/>
      </left>
      <right/>
      <top/>
      <bottom/>
      <diagonal/>
    </border>
    <border>
      <left style="thin">
        <color rgb="FF4F493B"/>
      </left>
      <right/>
      <top/>
      <bottom style="medium">
        <color indexed="64"/>
      </bottom>
      <diagonal/>
    </border>
    <border>
      <left style="thin">
        <color indexed="64"/>
      </left>
      <right style="medium">
        <color auto="1"/>
      </right>
      <top/>
      <bottom style="medium">
        <color indexed="64"/>
      </bottom>
      <diagonal/>
    </border>
    <border>
      <left style="thick">
        <color auto="1"/>
      </left>
      <right style="thin">
        <color indexed="64"/>
      </right>
      <top/>
      <bottom style="medium">
        <color indexed="64"/>
      </bottom>
      <diagonal/>
    </border>
    <border>
      <left style="thin">
        <color indexed="64"/>
      </left>
      <right/>
      <top style="thin">
        <color indexed="64"/>
      </top>
      <bottom style="thin">
        <color rgb="FF4F493B"/>
      </bottom>
      <diagonal/>
    </border>
    <border>
      <left style="thick">
        <color auto="1"/>
      </left>
      <right/>
      <top style="thin">
        <color indexed="64"/>
      </top>
      <bottom style="medium">
        <color indexed="64"/>
      </bottom>
      <diagonal/>
    </border>
    <border>
      <left/>
      <right style="thin">
        <color rgb="FF4F493B"/>
      </right>
      <top style="medium">
        <color indexed="64"/>
      </top>
      <bottom style="thin">
        <color rgb="FF4F493B"/>
      </bottom>
      <diagonal/>
    </border>
    <border>
      <left/>
      <right style="thin">
        <color indexed="64"/>
      </right>
      <top style="medium">
        <color indexed="64"/>
      </top>
      <bottom/>
      <diagonal/>
    </border>
    <border>
      <left style="thick">
        <color auto="1"/>
      </left>
      <right/>
      <top style="thin">
        <color indexed="64"/>
      </top>
      <bottom/>
      <diagonal/>
    </border>
    <border>
      <left/>
      <right/>
      <top style="medium">
        <color indexed="64"/>
      </top>
      <bottom style="thin">
        <color rgb="FF4F493B"/>
      </bottom>
      <diagonal/>
    </border>
    <border>
      <left style="thin">
        <color indexed="64"/>
      </left>
      <right/>
      <top/>
      <bottom style="thin">
        <color rgb="FF4F493B"/>
      </bottom>
      <diagonal/>
    </border>
    <border>
      <left style="thin">
        <color indexed="64"/>
      </left>
      <right style="thin">
        <color indexed="64"/>
      </right>
      <top style="thin">
        <color indexed="64"/>
      </top>
      <bottom style="thin">
        <color rgb="FF4F493B"/>
      </bottom>
      <diagonal/>
    </border>
    <border>
      <left style="medium">
        <color indexed="64"/>
      </left>
      <right/>
      <top/>
      <bottom style="thin">
        <color rgb="FF4F493B"/>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110">
    <xf numFmtId="0" fontId="0" fillId="0" borderId="0"/>
    <xf numFmtId="44" fontId="1" fillId="0" borderId="0" applyFon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0" fontId="27" fillId="0" borderId="0">
      <alignment readingOrder="1"/>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15" borderId="0" applyNumberFormat="0" applyAlignment="0">
      <alignment horizontal="right"/>
    </xf>
    <xf numFmtId="0" fontId="28" fillId="16" borderId="0" applyNumberFormat="0" applyAlignment="0"/>
    <xf numFmtId="168" fontId="31" fillId="0" borderId="0"/>
    <xf numFmtId="0" fontId="32" fillId="0" borderId="0">
      <alignment horizontal="center" wrapText="1"/>
    </xf>
    <xf numFmtId="0" fontId="29" fillId="17" borderId="5">
      <alignment horizontal="left"/>
    </xf>
    <xf numFmtId="0" fontId="30" fillId="0" borderId="0" applyNumberFormat="0" applyFill="0" applyBorder="0" applyAlignment="0" applyProtection="0">
      <alignment vertical="top"/>
      <protection locked="0"/>
    </xf>
    <xf numFmtId="0" fontId="28" fillId="0" borderId="0">
      <alignment readingOrder="1"/>
    </xf>
    <xf numFmtId="0" fontId="28" fillId="0" borderId="0"/>
    <xf numFmtId="0" fontId="28" fillId="0" borderId="0"/>
    <xf numFmtId="9" fontId="28"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1" fillId="0" borderId="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15" borderId="0" applyNumberFormat="0" applyAlignment="0">
      <alignment horizontal="right"/>
    </xf>
    <xf numFmtId="0" fontId="34" fillId="0" borderId="0"/>
    <xf numFmtId="0" fontId="34" fillId="0" borderId="0"/>
    <xf numFmtId="0" fontId="34" fillId="0" borderId="0"/>
    <xf numFmtId="0" fontId="28" fillId="0" borderId="0"/>
    <xf numFmtId="0" fontId="34" fillId="0" borderId="0"/>
    <xf numFmtId="0" fontId="34" fillId="0" borderId="0"/>
    <xf numFmtId="0" fontId="28" fillId="0" borderId="0">
      <alignment readingOrder="1"/>
    </xf>
    <xf numFmtId="0" fontId="34" fillId="0" borderId="0"/>
    <xf numFmtId="0" fontId="28" fillId="0" borderId="0"/>
    <xf numFmtId="0" fontId="34" fillId="0" borderId="0"/>
    <xf numFmtId="0" fontId="34" fillId="0" borderId="0"/>
    <xf numFmtId="0" fontId="34" fillId="0" borderId="0"/>
    <xf numFmtId="0" fontId="36" fillId="0" borderId="0"/>
    <xf numFmtId="0" fontId="34" fillId="0" borderId="0"/>
    <xf numFmtId="0" fontId="34" fillId="0" borderId="0"/>
    <xf numFmtId="0" fontId="34" fillId="0" borderId="0"/>
    <xf numFmtId="0" fontId="34" fillId="0" borderId="0"/>
    <xf numFmtId="0" fontId="28" fillId="0" borderId="0">
      <alignment readingOrder="1"/>
    </xf>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lignment readingOrder="1"/>
    </xf>
    <xf numFmtId="0" fontId="28" fillId="0" borderId="0"/>
    <xf numFmtId="0" fontId="39" fillId="0" borderId="0" applyNumberFormat="0" applyFill="0" applyBorder="0" applyAlignment="0" applyProtection="0">
      <alignment vertical="top"/>
      <protection locked="0"/>
    </xf>
    <xf numFmtId="0" fontId="34"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7" borderId="0" applyNumberFormat="0" applyBorder="0" applyAlignment="0" applyProtection="0"/>
    <xf numFmtId="0" fontId="38" fillId="28"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5" borderId="0" applyNumberFormat="0" applyBorder="0" applyAlignment="0" applyProtection="0"/>
    <xf numFmtId="0" fontId="40" fillId="19" borderId="0" applyNumberFormat="0" applyBorder="0" applyAlignment="0" applyProtection="0"/>
    <xf numFmtId="0" fontId="41" fillId="36" borderId="24" applyNumberFormat="0" applyAlignment="0" applyProtection="0"/>
    <xf numFmtId="0" fontId="42" fillId="37" borderId="25"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15" borderId="0" applyNumberFormat="0" applyAlignment="0">
      <alignment horizontal="right"/>
    </xf>
    <xf numFmtId="0" fontId="28" fillId="15" borderId="0" applyNumberFormat="0" applyAlignment="0">
      <alignment horizontal="right"/>
    </xf>
    <xf numFmtId="0" fontId="43" fillId="0" borderId="0" applyNumberFormat="0" applyFill="0" applyBorder="0" applyAlignment="0" applyProtection="0"/>
    <xf numFmtId="0" fontId="44" fillId="20" borderId="0" applyNumberFormat="0" applyBorder="0" applyAlignment="0" applyProtection="0"/>
    <xf numFmtId="0" fontId="45" fillId="0" borderId="26" applyNumberFormat="0" applyFill="0" applyAlignment="0" applyProtection="0"/>
    <xf numFmtId="0" fontId="37" fillId="0" borderId="27" applyNumberFormat="0" applyFill="0" applyAlignment="0" applyProtection="0"/>
    <xf numFmtId="0" fontId="37" fillId="0" borderId="0" applyNumberFormat="0" applyFill="0" applyBorder="0" applyAlignment="0" applyProtection="0"/>
    <xf numFmtId="0" fontId="46" fillId="23" borderId="24" applyNumberFormat="0" applyAlignment="0" applyProtection="0"/>
    <xf numFmtId="0" fontId="47" fillId="0" borderId="28" applyNumberFormat="0" applyFill="0" applyAlignment="0" applyProtection="0"/>
    <xf numFmtId="0" fontId="48" fillId="38" borderId="0" applyNumberFormat="0" applyBorder="0" applyAlignment="0" applyProtection="0"/>
    <xf numFmtId="0" fontId="28" fillId="0" borderId="0"/>
    <xf numFmtId="0" fontId="28" fillId="0" borderId="0"/>
    <xf numFmtId="0" fontId="28" fillId="0" borderId="0">
      <alignment readingOrder="1"/>
    </xf>
    <xf numFmtId="0" fontId="28" fillId="0" borderId="0">
      <alignment readingOrder="1"/>
    </xf>
    <xf numFmtId="0" fontId="28" fillId="0" borderId="0"/>
    <xf numFmtId="0" fontId="28" fillId="0" borderId="0"/>
    <xf numFmtId="0" fontId="1" fillId="0" borderId="0"/>
    <xf numFmtId="0" fontId="28" fillId="0" borderId="0">
      <alignment readingOrder="1"/>
    </xf>
    <xf numFmtId="0" fontId="34" fillId="39" borderId="29" applyNumberFormat="0" applyFont="0" applyAlignment="0" applyProtection="0"/>
    <xf numFmtId="0" fontId="49" fillId="36" borderId="30"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0" fillId="0" borderId="0" applyNumberFormat="0" applyFill="0" applyBorder="0" applyAlignment="0" applyProtection="0"/>
    <xf numFmtId="0" fontId="35" fillId="0" borderId="31" applyNumberFormat="0" applyFill="0" applyAlignment="0" applyProtection="0"/>
    <xf numFmtId="0" fontId="51" fillId="0" borderId="0" applyNumberFormat="0" applyFill="0" applyBorder="0" applyAlignment="0" applyProtection="0"/>
    <xf numFmtId="0" fontId="1" fillId="0" borderId="0"/>
    <xf numFmtId="0" fontId="1" fillId="0" borderId="0"/>
    <xf numFmtId="0" fontId="28" fillId="0" borderId="0"/>
    <xf numFmtId="0" fontId="28" fillId="0" borderId="0">
      <alignment readingOrder="1"/>
    </xf>
    <xf numFmtId="0" fontId="1" fillId="0" borderId="0"/>
    <xf numFmtId="43" fontId="1"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0" fontId="28" fillId="0" borderId="0">
      <alignment readingOrder="1"/>
    </xf>
    <xf numFmtId="0" fontId="28" fillId="0" borderId="0"/>
    <xf numFmtId="0" fontId="28" fillId="0" borderId="0" applyNumberFormat="0" applyFill="0" applyBorder="0" applyAlignment="0" applyProtection="0"/>
    <xf numFmtId="9" fontId="1" fillId="0" borderId="0" applyFont="0" applyFill="0" applyBorder="0" applyAlignment="0" applyProtection="0"/>
    <xf numFmtId="0" fontId="34" fillId="39" borderId="39" applyNumberFormat="0" applyFont="0" applyAlignment="0" applyProtection="0"/>
    <xf numFmtId="0" fontId="29" fillId="17" borderId="34">
      <alignment horizontal="left"/>
    </xf>
    <xf numFmtId="0" fontId="35" fillId="0" borderId="41" applyNumberFormat="0" applyFill="0" applyAlignment="0" applyProtection="0"/>
    <xf numFmtId="0" fontId="41" fillId="36" borderId="38" applyNumberFormat="0" applyAlignment="0" applyProtection="0"/>
    <xf numFmtId="0" fontId="46" fillId="23" borderId="38" applyNumberFormat="0" applyAlignment="0" applyProtection="0"/>
    <xf numFmtId="0" fontId="49" fillId="36" borderId="40" applyNumberFormat="0" applyAlignment="0" applyProtection="0"/>
    <xf numFmtId="0" fontId="1" fillId="0" borderId="0"/>
    <xf numFmtId="0" fontId="1" fillId="0" borderId="0"/>
    <xf numFmtId="0" fontId="34" fillId="39" borderId="45" applyNumberFormat="0" applyFont="0" applyAlignment="0" applyProtection="0"/>
    <xf numFmtId="0" fontId="49" fillId="36" borderId="46" applyNumberFormat="0" applyAlignment="0" applyProtection="0"/>
    <xf numFmtId="0" fontId="35" fillId="0" borderId="47" applyNumberFormat="0" applyFill="0" applyAlignment="0" applyProtection="0"/>
    <xf numFmtId="0" fontId="53" fillId="0" borderId="49" applyNumberFormat="0" applyFill="0" applyAlignment="0" applyProtection="0"/>
    <xf numFmtId="0" fontId="54" fillId="0" borderId="50" applyNumberFormat="0" applyFill="0" applyAlignment="0" applyProtection="0"/>
    <xf numFmtId="0" fontId="55" fillId="0" borderId="51" applyNumberFormat="0" applyFill="0" applyAlignment="0" applyProtection="0"/>
    <xf numFmtId="0" fontId="55" fillId="0" borderId="0" applyNumberFormat="0" applyFill="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8" fillId="42" borderId="0" applyNumberFormat="0" applyBorder="0" applyAlignment="0" applyProtection="0"/>
    <xf numFmtId="0" fontId="59" fillId="43" borderId="52" applyNumberFormat="0" applyAlignment="0" applyProtection="0"/>
    <xf numFmtId="0" fontId="60" fillId="44" borderId="53" applyNumberFormat="0" applyAlignment="0" applyProtection="0"/>
    <xf numFmtId="0" fontId="61" fillId="44" borderId="52" applyNumberFormat="0" applyAlignment="0" applyProtection="0"/>
    <xf numFmtId="0" fontId="62" fillId="0" borderId="54" applyNumberFormat="0" applyFill="0" applyAlignment="0" applyProtection="0"/>
    <xf numFmtId="0" fontId="63" fillId="45" borderId="55" applyNumberFormat="0" applyAlignment="0" applyProtection="0"/>
    <xf numFmtId="0" fontId="64" fillId="0" borderId="0" applyNumberFormat="0" applyFill="0" applyBorder="0" applyAlignment="0" applyProtection="0"/>
    <xf numFmtId="0" fontId="1" fillId="46" borderId="56" applyNumberFormat="0" applyFont="0" applyAlignment="0" applyProtection="0"/>
    <xf numFmtId="0" fontId="65" fillId="0" borderId="0" applyNumberFormat="0" applyFill="0" applyBorder="0" applyAlignment="0" applyProtection="0"/>
    <xf numFmtId="0" fontId="2" fillId="0" borderId="57" applyNumberFormat="0" applyFill="0" applyAlignment="0" applyProtection="0"/>
    <xf numFmtId="0" fontId="66"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66" fillId="70" borderId="0" applyNumberFormat="0" applyBorder="0" applyAlignment="0" applyProtection="0"/>
    <xf numFmtId="0" fontId="1" fillId="0" borderId="0"/>
    <xf numFmtId="0" fontId="28" fillId="0" borderId="0"/>
    <xf numFmtId="0" fontId="71" fillId="0" borderId="64" applyNumberFormat="0" applyFill="0" applyAlignment="0" applyProtection="0"/>
    <xf numFmtId="0" fontId="7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39" borderId="45" applyNumberFormat="0" applyFont="0" applyAlignment="0" applyProtection="0"/>
    <xf numFmtId="9" fontId="28" fillId="0" borderId="0" applyFont="0" applyFill="0" applyBorder="0" applyAlignment="0" applyProtection="0"/>
    <xf numFmtId="0" fontId="73" fillId="0" borderId="0" applyNumberFormat="0" applyFill="0" applyBorder="0" applyAlignment="0" applyProtection="0"/>
    <xf numFmtId="0" fontId="28" fillId="0" borderId="0"/>
    <xf numFmtId="0" fontId="74" fillId="0" borderId="0"/>
    <xf numFmtId="0" fontId="28" fillId="0" borderId="0"/>
    <xf numFmtId="0" fontId="28" fillId="0" borderId="0"/>
    <xf numFmtId="0" fontId="28" fillId="0" borderId="0"/>
    <xf numFmtId="0" fontId="75"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 fillId="0" borderId="0"/>
    <xf numFmtId="0" fontId="52" fillId="0" borderId="0" applyNumberFormat="0" applyFill="0" applyBorder="0" applyAlignment="0" applyProtection="0"/>
    <xf numFmtId="0" fontId="84" fillId="0" borderId="0"/>
    <xf numFmtId="44" fontId="84"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27" fillId="0" borderId="0"/>
    <xf numFmtId="0" fontId="36" fillId="0" borderId="0"/>
  </cellStyleXfs>
  <cellXfs count="2533">
    <xf numFmtId="0" fontId="0" fillId="0" borderId="0" xfId="0"/>
    <xf numFmtId="0" fontId="0" fillId="0" borderId="0" xfId="0" applyFont="1"/>
    <xf numFmtId="0" fontId="0" fillId="0" borderId="1" xfId="0" applyBorder="1"/>
    <xf numFmtId="44" fontId="0" fillId="0" borderId="1" xfId="1" applyFont="1" applyBorder="1"/>
    <xf numFmtId="0" fontId="3" fillId="0" borderId="0" xfId="2"/>
    <xf numFmtId="0" fontId="5" fillId="0" borderId="0" xfId="0" applyFont="1" applyAlignment="1">
      <alignment vertical="center"/>
    </xf>
    <xf numFmtId="44" fontId="8" fillId="0" borderId="1" xfId="1" applyFont="1" applyBorder="1" applyAlignment="1">
      <alignment horizontal="center" vertical="center"/>
    </xf>
    <xf numFmtId="0" fontId="7" fillId="4" borderId="1" xfId="0" applyFont="1" applyFill="1" applyBorder="1" applyAlignment="1">
      <alignment horizontal="center" vertical="center" wrapText="1"/>
    </xf>
    <xf numFmtId="0" fontId="8" fillId="0" borderId="1" xfId="0" applyFont="1" applyBorder="1" applyAlignment="1">
      <alignment horizontal="center" vertical="center"/>
    </xf>
    <xf numFmtId="44" fontId="0" fillId="0" borderId="1" xfId="0" applyNumberFormat="1" applyBorder="1"/>
    <xf numFmtId="0" fontId="8" fillId="0" borderId="0" xfId="0" applyFont="1" applyBorder="1" applyAlignment="1">
      <alignment horizontal="center" vertical="center"/>
    </xf>
    <xf numFmtId="44" fontId="8" fillId="0" borderId="0" xfId="1" applyFont="1" applyBorder="1" applyAlignment="1">
      <alignment horizontal="center" vertical="center"/>
    </xf>
    <xf numFmtId="44" fontId="0" fillId="0" borderId="0" xfId="1" applyFont="1" applyBorder="1"/>
    <xf numFmtId="0" fontId="12" fillId="0" borderId="1" xfId="0" applyFont="1" applyBorder="1" applyAlignment="1">
      <alignment horizontal="center" vertical="center"/>
    </xf>
    <xf numFmtId="6" fontId="12" fillId="0" borderId="1" xfId="0" applyNumberFormat="1" applyFont="1" applyBorder="1" applyAlignment="1">
      <alignment horizontal="center" vertical="center"/>
    </xf>
    <xf numFmtId="0" fontId="12" fillId="0" borderId="1" xfId="0" applyFont="1" applyFill="1" applyBorder="1" applyAlignment="1">
      <alignment horizontal="center" vertical="center"/>
    </xf>
    <xf numFmtId="0" fontId="6" fillId="5" borderId="1" xfId="0" applyFont="1" applyFill="1" applyBorder="1" applyAlignment="1">
      <alignment wrapText="1"/>
    </xf>
    <xf numFmtId="6" fontId="8"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164" fontId="0" fillId="0" borderId="1" xfId="0" applyNumberFormat="1" applyBorder="1"/>
    <xf numFmtId="0" fontId="0" fillId="2" borderId="1" xfId="0" applyFont="1" applyFill="1" applyBorder="1" applyAlignment="1">
      <alignment horizontal="center" vertical="center" wrapText="1"/>
    </xf>
    <xf numFmtId="0" fontId="0" fillId="0" borderId="0" xfId="0" applyBorder="1" applyAlignment="1">
      <alignment horizontal="center" vertical="center"/>
    </xf>
    <xf numFmtId="44" fontId="0" fillId="0" borderId="0" xfId="1" applyFont="1" applyBorder="1" applyAlignment="1">
      <alignment horizontal="center" vertical="center"/>
    </xf>
    <xf numFmtId="0" fontId="0" fillId="6" borderId="0" xfId="0" applyFont="1" applyFill="1" applyBorder="1" applyAlignment="1">
      <alignment horizontal="center" vertical="center" wrapText="1"/>
    </xf>
    <xf numFmtId="0" fontId="0" fillId="0" borderId="0" xfId="0" applyBorder="1"/>
    <xf numFmtId="44" fontId="0" fillId="0" borderId="0" xfId="0" applyNumberFormat="1" applyBorder="1"/>
    <xf numFmtId="0" fontId="7" fillId="4" borderId="1" xfId="0" applyFont="1" applyFill="1" applyBorder="1" applyAlignment="1">
      <alignment horizontal="center" vertical="center" wrapText="1"/>
    </xf>
    <xf numFmtId="0" fontId="9" fillId="0" borderId="0" xfId="0" applyFont="1" applyAlignment="1">
      <alignment horizontal="center" wrapText="1"/>
    </xf>
    <xf numFmtId="0" fontId="14" fillId="0" borderId="0" xfId="0" applyFont="1" applyAlignment="1">
      <alignment vertical="center"/>
    </xf>
    <xf numFmtId="0" fontId="0" fillId="2" borderId="1" xfId="0" applyFont="1" applyFill="1" applyBorder="1" applyAlignment="1">
      <alignment wrapText="1"/>
    </xf>
    <xf numFmtId="0" fontId="13" fillId="7" borderId="1" xfId="0" applyFont="1" applyFill="1" applyBorder="1" applyAlignment="1">
      <alignment horizontal="center" vertical="center" wrapText="1"/>
    </xf>
    <xf numFmtId="44" fontId="0" fillId="7" borderId="1" xfId="0" applyNumberFormat="1" applyFill="1" applyBorder="1"/>
    <xf numFmtId="0" fontId="4" fillId="0" borderId="1" xfId="0" applyFont="1" applyBorder="1" applyAlignment="1">
      <alignment vertical="center" wrapText="1"/>
    </xf>
    <xf numFmtId="0" fontId="0" fillId="0" borderId="0" xfId="0" applyFont="1" applyAlignment="1">
      <alignment wrapText="1"/>
    </xf>
    <xf numFmtId="8" fontId="12" fillId="0" borderId="1" xfId="0" applyNumberFormat="1" applyFont="1" applyBorder="1" applyAlignment="1">
      <alignment horizontal="center" vertical="center"/>
    </xf>
    <xf numFmtId="0" fontId="8" fillId="4" borderId="1" xfId="0" applyFont="1" applyFill="1" applyBorder="1" applyAlignment="1">
      <alignment horizontal="center" vertical="center" wrapText="1"/>
    </xf>
    <xf numFmtId="44" fontId="1" fillId="0" borderId="1" xfId="1" applyFont="1" applyBorder="1"/>
    <xf numFmtId="0" fontId="4" fillId="2" borderId="1" xfId="0" applyFont="1" applyFill="1" applyBorder="1" applyAlignment="1">
      <alignment horizontal="center" vertical="center" wrapText="1"/>
    </xf>
    <xf numFmtId="44" fontId="1" fillId="3" borderId="1" xfId="1" applyFont="1" applyFill="1" applyBorder="1"/>
    <xf numFmtId="0" fontId="4" fillId="0" borderId="0" xfId="0" applyFont="1" applyAlignment="1">
      <alignment vertical="center"/>
    </xf>
    <xf numFmtId="0" fontId="0" fillId="0" borderId="1" xfId="0" applyFont="1" applyBorder="1"/>
    <xf numFmtId="0" fontId="2" fillId="2" borderId="1" xfId="0" applyFont="1" applyFill="1" applyBorder="1" applyAlignment="1">
      <alignment horizontal="center" wrapText="1"/>
    </xf>
    <xf numFmtId="0" fontId="8" fillId="7" borderId="1" xfId="0" applyFont="1" applyFill="1" applyBorder="1" applyAlignment="1">
      <alignment horizontal="center" vertical="center"/>
    </xf>
    <xf numFmtId="44" fontId="8" fillId="7" borderId="1" xfId="0" applyNumberFormat="1" applyFont="1" applyFill="1" applyBorder="1" applyAlignment="1">
      <alignment horizontal="center" vertical="center"/>
    </xf>
    <xf numFmtId="44" fontId="8" fillId="7" borderId="1" xfId="1" applyFont="1" applyFill="1" applyBorder="1" applyAlignment="1">
      <alignment horizontal="center" vertical="center"/>
    </xf>
    <xf numFmtId="0" fontId="8" fillId="0" borderId="6" xfId="0" applyFont="1" applyBorder="1" applyAlignment="1">
      <alignment horizontal="center" vertical="center"/>
    </xf>
    <xf numFmtId="0" fontId="8" fillId="0" borderId="6" xfId="0" applyFont="1" applyFill="1" applyBorder="1" applyAlignment="1">
      <alignment horizontal="center" vertical="center"/>
    </xf>
    <xf numFmtId="0" fontId="8" fillId="0" borderId="1" xfId="0" applyFont="1" applyFill="1" applyBorder="1" applyAlignment="1">
      <alignment horizontal="center" vertical="center"/>
    </xf>
    <xf numFmtId="44" fontId="8" fillId="0" borderId="1" xfId="1" applyFont="1" applyFill="1" applyBorder="1" applyAlignment="1">
      <alignment horizontal="center" vertical="center"/>
    </xf>
    <xf numFmtId="0" fontId="7" fillId="2" borderId="0" xfId="0" applyFont="1" applyFill="1"/>
    <xf numFmtId="165" fontId="8" fillId="0" borderId="1" xfId="0" applyNumberFormat="1" applyFont="1" applyBorder="1" applyAlignment="1">
      <alignment horizontal="center" vertical="center"/>
    </xf>
    <xf numFmtId="0" fontId="0" fillId="0" borderId="1" xfId="0" applyBorder="1" applyAlignment="1"/>
    <xf numFmtId="0" fontId="0" fillId="0" borderId="7" xfId="0" applyBorder="1"/>
    <xf numFmtId="0" fontId="8" fillId="4" borderId="1" xfId="0" applyFont="1" applyFill="1" applyBorder="1" applyAlignment="1">
      <alignment vertical="center" wrapText="1"/>
    </xf>
    <xf numFmtId="0" fontId="12" fillId="0" borderId="1" xfId="1" applyNumberFormat="1" applyFont="1" applyBorder="1" applyAlignment="1">
      <alignment horizontal="center" vertical="center"/>
    </xf>
    <xf numFmtId="44" fontId="12" fillId="0" borderId="1" xfId="1" applyFont="1" applyBorder="1" applyAlignment="1">
      <alignment horizontal="center" vertical="center"/>
    </xf>
    <xf numFmtId="0" fontId="12" fillId="0" borderId="1" xfId="1" applyNumberFormat="1" applyFont="1" applyFill="1" applyBorder="1" applyAlignment="1">
      <alignment horizontal="center" vertical="center"/>
    </xf>
    <xf numFmtId="8" fontId="0" fillId="0" borderId="1" xfId="0" applyNumberFormat="1" applyBorder="1"/>
    <xf numFmtId="0" fontId="0" fillId="0" borderId="1" xfId="0" applyBorder="1" applyAlignment="1">
      <alignment wrapText="1"/>
    </xf>
    <xf numFmtId="44" fontId="0" fillId="0" borderId="1" xfId="1" applyFont="1" applyBorder="1" applyAlignment="1">
      <alignment wrapText="1"/>
    </xf>
    <xf numFmtId="0" fontId="12"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25" fillId="0" borderId="0" xfId="0" applyFont="1"/>
    <xf numFmtId="0" fontId="9" fillId="0" borderId="0" xfId="0" applyFont="1" applyAlignment="1">
      <alignment horizontal="center" wrapText="1"/>
    </xf>
    <xf numFmtId="0" fontId="0"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2" fontId="0" fillId="0" borderId="1" xfId="0" applyNumberFormat="1" applyBorder="1"/>
    <xf numFmtId="0" fontId="12" fillId="0" borderId="0" xfId="0" applyFont="1" applyBorder="1" applyAlignment="1">
      <alignment horizontal="center" vertical="center"/>
    </xf>
    <xf numFmtId="0" fontId="0" fillId="0" borderId="1" xfId="0" applyBorder="1" applyAlignment="1">
      <alignment vertical="center" wrapText="1"/>
    </xf>
    <xf numFmtId="0" fontId="12" fillId="0" borderId="1" xfId="1" applyNumberFormat="1" applyFont="1" applyBorder="1" applyAlignment="1">
      <alignment horizontal="center" vertical="center" wrapText="1"/>
    </xf>
    <xf numFmtId="44" fontId="12" fillId="0" borderId="1" xfId="1" applyFont="1" applyBorder="1" applyAlignment="1">
      <alignment horizontal="center" vertical="center" wrapText="1"/>
    </xf>
    <xf numFmtId="8" fontId="12" fillId="0" borderId="1" xfId="0" applyNumberFormat="1" applyFont="1" applyBorder="1" applyAlignment="1">
      <alignment horizontal="center" vertical="center" wrapText="1"/>
    </xf>
    <xf numFmtId="0" fontId="0" fillId="12" borderId="1" xfId="0" applyFill="1" applyBorder="1" applyAlignment="1">
      <alignment horizontal="center" vertical="center"/>
    </xf>
    <xf numFmtId="0" fontId="13" fillId="12" borderId="1" xfId="0" applyFont="1" applyFill="1" applyBorder="1" applyAlignment="1">
      <alignment horizontal="center" vertical="center" wrapText="1"/>
    </xf>
    <xf numFmtId="44" fontId="13" fillId="12" borderId="1" xfId="1" applyFont="1" applyFill="1" applyBorder="1" applyAlignment="1">
      <alignment horizontal="center" vertical="center" wrapText="1"/>
    </xf>
    <xf numFmtId="0" fontId="0" fillId="0" borderId="0" xfId="0"/>
    <xf numFmtId="0" fontId="26" fillId="9" borderId="1" xfId="0" applyFont="1" applyFill="1" applyBorder="1" applyAlignment="1">
      <alignment horizontal="center" vertical="center" wrapText="1"/>
    </xf>
    <xf numFmtId="0" fontId="25" fillId="0" borderId="1" xfId="0" applyFont="1" applyBorder="1" applyAlignment="1">
      <alignment horizontal="center" vertical="center" wrapText="1"/>
    </xf>
    <xf numFmtId="6" fontId="25" fillId="0" borderId="1" xfId="0" applyNumberFormat="1" applyFont="1" applyBorder="1" applyAlignment="1">
      <alignment horizontal="center" vertical="center" wrapText="1"/>
    </xf>
    <xf numFmtId="6" fontId="11" fillId="0" borderId="1" xfId="0" applyNumberFormat="1" applyFont="1" applyBorder="1" applyAlignment="1">
      <alignment vertical="center" wrapText="1"/>
    </xf>
    <xf numFmtId="0" fontId="26" fillId="9" borderId="1" xfId="0" applyFont="1" applyFill="1" applyBorder="1" applyAlignment="1">
      <alignment horizontal="center" vertical="center"/>
    </xf>
    <xf numFmtId="0" fontId="25" fillId="10" borderId="1" xfId="0" applyFont="1" applyFill="1" applyBorder="1" applyAlignment="1">
      <alignment horizontal="center" vertical="center"/>
    </xf>
    <xf numFmtId="6" fontId="25" fillId="10" borderId="1" xfId="0" applyNumberFormat="1" applyFont="1" applyFill="1" applyBorder="1" applyAlignment="1">
      <alignment horizontal="center" vertical="center"/>
    </xf>
    <xf numFmtId="6" fontId="11" fillId="0" borderId="1" xfId="0" applyNumberFormat="1" applyFont="1" applyBorder="1"/>
    <xf numFmtId="0" fontId="2" fillId="2" borderId="1" xfId="0" applyFont="1" applyFill="1" applyBorder="1" applyAlignment="1">
      <alignment wrapText="1"/>
    </xf>
    <xf numFmtId="0" fontId="0" fillId="0" borderId="0" xfId="0" applyAlignment="1">
      <alignment wrapText="1"/>
    </xf>
    <xf numFmtId="6" fontId="8" fillId="0" borderId="0" xfId="0" applyNumberFormat="1" applyFont="1" applyBorder="1" applyAlignment="1">
      <alignment horizontal="center" vertical="center"/>
    </xf>
    <xf numFmtId="0" fontId="0" fillId="2" borderId="32" xfId="0" applyFill="1" applyBorder="1" applyAlignment="1">
      <alignment wrapText="1"/>
    </xf>
    <xf numFmtId="0" fontId="0" fillId="2" borderId="32" xfId="0" applyFill="1" applyBorder="1"/>
    <xf numFmtId="0" fontId="0" fillId="0" borderId="32" xfId="0" applyBorder="1"/>
    <xf numFmtId="0" fontId="0" fillId="0" borderId="12" xfId="0" applyFill="1" applyBorder="1" applyAlignment="1"/>
    <xf numFmtId="44" fontId="0" fillId="0" borderId="0" xfId="0" applyNumberFormat="1"/>
    <xf numFmtId="0" fontId="0" fillId="0" borderId="1" xfId="0" applyFont="1" applyBorder="1" applyAlignment="1"/>
    <xf numFmtId="0" fontId="0" fillId="0" borderId="0" xfId="0" applyFont="1" applyAlignment="1"/>
    <xf numFmtId="44" fontId="69" fillId="0" borderId="1" xfId="1" applyFont="1" applyBorder="1" applyAlignment="1">
      <alignment vertical="center" wrapText="1"/>
    </xf>
    <xf numFmtId="0" fontId="0" fillId="0" borderId="0" xfId="0"/>
    <xf numFmtId="0" fontId="0" fillId="0" borderId="1" xfId="0" applyFill="1" applyBorder="1"/>
    <xf numFmtId="0" fontId="0" fillId="0" borderId="1" xfId="0" applyBorder="1"/>
    <xf numFmtId="0" fontId="0" fillId="0" borderId="0" xfId="0" applyFont="1" applyAlignment="1">
      <alignment horizontal="left" vertical="top" wrapText="1"/>
    </xf>
    <xf numFmtId="170" fontId="0" fillId="0" borderId="1" xfId="1" applyNumberFormat="1" applyFont="1" applyBorder="1"/>
    <xf numFmtId="0" fontId="0" fillId="0" borderId="0" xfId="0" applyFill="1"/>
    <xf numFmtId="0" fontId="8" fillId="4" borderId="1" xfId="0" applyFont="1" applyFill="1" applyBorder="1" applyAlignment="1">
      <alignment horizontal="center" vertical="center" wrapText="1"/>
    </xf>
    <xf numFmtId="0" fontId="12" fillId="0" borderId="1" xfId="0" applyFont="1" applyBorder="1" applyAlignment="1">
      <alignment horizontal="center" vertical="center"/>
    </xf>
    <xf numFmtId="0" fontId="76" fillId="4" borderId="1" xfId="0" applyFont="1" applyFill="1" applyBorder="1" applyAlignment="1">
      <alignment vertical="center"/>
    </xf>
    <xf numFmtId="0" fontId="76" fillId="4" borderId="1" xfId="0" applyFont="1" applyFill="1" applyBorder="1" applyAlignment="1">
      <alignment horizontal="center" vertical="center"/>
    </xf>
    <xf numFmtId="0" fontId="12" fillId="0" borderId="1" xfId="0" applyFont="1" applyBorder="1" applyAlignment="1">
      <alignment horizontal="right" vertical="center"/>
    </xf>
    <xf numFmtId="6" fontId="12" fillId="0" borderId="1" xfId="0" applyNumberFormat="1" applyFont="1" applyBorder="1" applyAlignment="1">
      <alignment horizontal="right" vertical="center"/>
    </xf>
    <xf numFmtId="6" fontId="12" fillId="0" borderId="0" xfId="0" applyNumberFormat="1" applyFont="1" applyBorder="1" applyAlignment="1">
      <alignment horizontal="center" vertical="center"/>
    </xf>
    <xf numFmtId="0" fontId="18" fillId="5" borderId="37" xfId="0" applyFont="1" applyFill="1" applyBorder="1" applyAlignment="1"/>
    <xf numFmtId="0" fontId="8" fillId="4" borderId="37"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0" fillId="71" borderId="0" xfId="0" applyFill="1"/>
    <xf numFmtId="0" fontId="0" fillId="0" borderId="0" xfId="0" applyFont="1" applyFill="1" applyAlignment="1">
      <alignment wrapText="1"/>
    </xf>
    <xf numFmtId="0" fontId="0" fillId="0" borderId="1" xfId="0" applyBorder="1" applyAlignment="1">
      <alignment horizontal="center"/>
    </xf>
    <xf numFmtId="0" fontId="8" fillId="4" borderId="1" xfId="0" applyFont="1" applyFill="1" applyBorder="1" applyAlignment="1">
      <alignment horizontal="center" vertical="center" wrapText="1"/>
    </xf>
    <xf numFmtId="0" fontId="12" fillId="0" borderId="1" xfId="0" applyFont="1" applyBorder="1" applyAlignment="1">
      <alignment horizontal="center" vertical="center"/>
    </xf>
    <xf numFmtId="44" fontId="0" fillId="72" borderId="1" xfId="0" applyNumberFormat="1" applyFill="1" applyBorder="1"/>
    <xf numFmtId="0" fontId="12" fillId="0" borderId="36" xfId="0" applyFont="1" applyBorder="1" applyAlignment="1">
      <alignment horizontal="center" vertical="center"/>
    </xf>
    <xf numFmtId="0" fontId="12" fillId="0" borderId="36" xfId="0" applyFont="1" applyFill="1" applyBorder="1" applyAlignment="1">
      <alignment horizontal="center" vertical="center"/>
    </xf>
    <xf numFmtId="0" fontId="18" fillId="0" borderId="0" xfId="0" applyFont="1" applyFill="1" applyBorder="1" applyAlignment="1"/>
    <xf numFmtId="0" fontId="0" fillId="0" borderId="1" xfId="0" applyFill="1" applyBorder="1" applyAlignment="1">
      <alignment horizontal="center"/>
    </xf>
    <xf numFmtId="44" fontId="12" fillId="0" borderId="1" xfId="0" applyNumberFormat="1" applyFont="1" applyBorder="1" applyAlignment="1">
      <alignment horizontal="center" vertical="center"/>
    </xf>
    <xf numFmtId="44" fontId="12" fillId="0" borderId="1" xfId="1" applyFont="1" applyBorder="1" applyAlignment="1">
      <alignment horizontal="right" vertical="center"/>
    </xf>
    <xf numFmtId="0" fontId="18" fillId="71" borderId="0" xfId="0" applyFont="1" applyFill="1" applyBorder="1" applyAlignment="1"/>
    <xf numFmtId="44" fontId="0" fillId="0" borderId="1" xfId="1" applyFont="1" applyBorder="1" applyAlignment="1">
      <alignment horizontal="center" vertical="center"/>
    </xf>
    <xf numFmtId="39" fontId="0" fillId="0" borderId="71" xfId="1" applyNumberFormat="1" applyFont="1" applyBorder="1" applyAlignment="1">
      <alignment horizontal="center" vertical="center"/>
    </xf>
    <xf numFmtId="0" fontId="0" fillId="0" borderId="72" xfId="0" applyNumberFormat="1" applyFill="1" applyBorder="1"/>
    <xf numFmtId="164" fontId="0" fillId="0" borderId="72" xfId="0" applyNumberFormat="1" applyBorder="1"/>
    <xf numFmtId="0" fontId="0" fillId="0" borderId="72" xfId="0" applyBorder="1"/>
    <xf numFmtId="44" fontId="0" fillId="0" borderId="72" xfId="1" applyFont="1" applyBorder="1"/>
    <xf numFmtId="44" fontId="0" fillId="0" borderId="72" xfId="0" applyNumberFormat="1" applyBorder="1"/>
    <xf numFmtId="39" fontId="0" fillId="0" borderId="23" xfId="1" applyNumberFormat="1" applyFont="1" applyBorder="1" applyAlignment="1">
      <alignment horizontal="center" vertical="center"/>
    </xf>
    <xf numFmtId="39" fontId="0" fillId="0" borderId="75" xfId="1" applyNumberFormat="1" applyFont="1" applyBorder="1" applyAlignment="1">
      <alignment horizontal="center" vertical="center"/>
    </xf>
    <xf numFmtId="0" fontId="0" fillId="0" borderId="76" xfId="0" applyBorder="1"/>
    <xf numFmtId="164" fontId="0" fillId="0" borderId="76" xfId="0" applyNumberFormat="1" applyBorder="1"/>
    <xf numFmtId="44" fontId="0" fillId="0" borderId="76" xfId="1" applyFont="1" applyBorder="1"/>
    <xf numFmtId="44" fontId="0" fillId="0" borderId="76" xfId="0" applyNumberFormat="1" applyBorder="1"/>
    <xf numFmtId="0" fontId="23" fillId="74" borderId="3" xfId="0" applyFont="1" applyFill="1" applyBorder="1" applyAlignment="1">
      <alignment vertical="center" wrapText="1"/>
    </xf>
    <xf numFmtId="0" fontId="23" fillId="74" borderId="9" xfId="0" applyFont="1" applyFill="1" applyBorder="1" applyAlignment="1">
      <alignment vertical="center" wrapText="1"/>
    </xf>
    <xf numFmtId="0" fontId="0" fillId="13" borderId="1" xfId="0" applyFill="1" applyBorder="1" applyAlignment="1">
      <alignment wrapText="1"/>
    </xf>
    <xf numFmtId="0" fontId="23" fillId="74" borderId="1" xfId="0" applyFont="1" applyFill="1" applyBorder="1" applyAlignment="1">
      <alignment vertical="center" wrapText="1"/>
    </xf>
    <xf numFmtId="0" fontId="0" fillId="13" borderId="69" xfId="0" applyFill="1" applyBorder="1" applyAlignment="1">
      <alignment wrapText="1"/>
    </xf>
    <xf numFmtId="0" fontId="0" fillId="13" borderId="1" xfId="0" applyFill="1" applyBorder="1" applyAlignment="1">
      <alignment horizontal="center" wrapText="1"/>
    </xf>
    <xf numFmtId="0" fontId="0" fillId="13" borderId="68" xfId="0" applyFill="1" applyBorder="1" applyAlignment="1">
      <alignment horizontal="center" wrapText="1"/>
    </xf>
    <xf numFmtId="0" fontId="0" fillId="13" borderId="68" xfId="0" applyFill="1" applyBorder="1" applyAlignment="1">
      <alignment wrapText="1"/>
    </xf>
    <xf numFmtId="0" fontId="0" fillId="13" borderId="68" xfId="0" applyFill="1" applyBorder="1"/>
    <xf numFmtId="0" fontId="0" fillId="13" borderId="70" xfId="0" applyFill="1" applyBorder="1" applyAlignment="1">
      <alignment horizontal="center" wrapText="1"/>
    </xf>
    <xf numFmtId="0" fontId="8" fillId="13" borderId="1" xfId="0" applyFont="1" applyFill="1" applyBorder="1" applyAlignment="1">
      <alignment vertical="center" wrapText="1"/>
    </xf>
    <xf numFmtId="0" fontId="0" fillId="0" borderId="1" xfId="0" applyBorder="1" applyAlignment="1">
      <alignment horizontal="center"/>
    </xf>
    <xf numFmtId="0" fontId="8" fillId="4" borderId="1" xfId="0" applyFont="1" applyFill="1" applyBorder="1" applyAlignment="1">
      <alignment horizontal="center" vertical="center" wrapText="1"/>
    </xf>
    <xf numFmtId="0" fontId="12" fillId="0" borderId="1" xfId="0" applyFont="1" applyBorder="1" applyAlignment="1">
      <alignment horizontal="center" vertical="center"/>
    </xf>
    <xf numFmtId="0" fontId="7" fillId="0" borderId="0" xfId="0" applyFont="1" applyFill="1" applyBorder="1" applyAlignment="1">
      <alignment horizontal="center" vertical="center" wrapText="1"/>
    </xf>
    <xf numFmtId="0" fontId="0" fillId="0" borderId="0" xfId="0" applyProtection="1">
      <protection locked="0"/>
    </xf>
    <xf numFmtId="0" fontId="79" fillId="75" borderId="33" xfId="0" applyFont="1" applyFill="1" applyBorder="1" applyAlignment="1">
      <alignment horizontal="center" vertical="center" wrapText="1"/>
    </xf>
    <xf numFmtId="0" fontId="79" fillId="75" borderId="32" xfId="0" applyFont="1" applyFill="1" applyBorder="1" applyAlignment="1">
      <alignment horizontal="center" vertical="center" wrapText="1"/>
    </xf>
    <xf numFmtId="0" fontId="81" fillId="0" borderId="34" xfId="0" applyFont="1" applyBorder="1" applyAlignment="1">
      <alignment horizontal="centerContinuous"/>
    </xf>
    <xf numFmtId="0" fontId="0" fillId="0" borderId="34" xfId="0" applyBorder="1" applyAlignment="1">
      <alignment horizontal="centerContinuous"/>
    </xf>
    <xf numFmtId="0" fontId="0" fillId="0" borderId="32" xfId="0" applyBorder="1" applyProtection="1">
      <protection locked="0"/>
    </xf>
    <xf numFmtId="171" fontId="0" fillId="0" borderId="32" xfId="0" applyNumberFormat="1" applyBorder="1" applyProtection="1">
      <protection locked="0"/>
    </xf>
    <xf numFmtId="0" fontId="0" fillId="0" borderId="80" xfId="0" applyBorder="1"/>
    <xf numFmtId="0" fontId="0" fillId="0" borderId="0" xfId="0" applyBorder="1" applyProtection="1">
      <protection locked="0"/>
    </xf>
    <xf numFmtId="0" fontId="0" fillId="0" borderId="15" xfId="0" applyBorder="1"/>
    <xf numFmtId="0" fontId="0" fillId="0" borderId="14" xfId="0" applyBorder="1"/>
    <xf numFmtId="0" fontId="82" fillId="0" borderId="0" xfId="0" applyFont="1"/>
    <xf numFmtId="1" fontId="33" fillId="76" borderId="32" xfId="44" applyNumberFormat="1" applyFont="1" applyFill="1" applyBorder="1" applyAlignment="1" applyProtection="1">
      <alignment horizontal="center"/>
      <protection locked="0"/>
    </xf>
    <xf numFmtId="0" fontId="33" fillId="76" borderId="32" xfId="44" applyFont="1" applyFill="1" applyBorder="1" applyProtection="1">
      <protection locked="0"/>
    </xf>
    <xf numFmtId="0" fontId="33" fillId="76" borderId="32" xfId="44" applyFont="1" applyFill="1" applyBorder="1" applyAlignment="1" applyProtection="1">
      <alignment horizontal="center"/>
      <protection locked="0"/>
    </xf>
    <xf numFmtId="0" fontId="83" fillId="0" borderId="0" xfId="0" applyFont="1" applyBorder="1"/>
    <xf numFmtId="0" fontId="33" fillId="76" borderId="0" xfId="44" applyFont="1" applyFill="1" applyBorder="1" applyProtection="1">
      <protection locked="0"/>
    </xf>
    <xf numFmtId="0" fontId="0" fillId="0" borderId="32" xfId="0" applyBorder="1" applyAlignment="1">
      <alignment vertical="center"/>
    </xf>
    <xf numFmtId="171" fontId="0" fillId="0" borderId="32" xfId="0" applyNumberFormat="1" applyBorder="1" applyAlignment="1" applyProtection="1">
      <alignment vertical="center" wrapText="1"/>
      <protection locked="0"/>
    </xf>
    <xf numFmtId="0" fontId="0" fillId="0" borderId="32" xfId="0" applyBorder="1" applyAlignment="1">
      <alignment vertical="center" wrapText="1"/>
    </xf>
    <xf numFmtId="0" fontId="0" fillId="2" borderId="32" xfId="0" applyFill="1" applyBorder="1" applyAlignment="1">
      <alignment vertical="center"/>
    </xf>
    <xf numFmtId="0" fontId="4" fillId="2" borderId="32" xfId="0" applyFont="1" applyFill="1" applyBorder="1" applyAlignment="1">
      <alignment horizontal="center" vertical="center" wrapText="1"/>
    </xf>
    <xf numFmtId="0" fontId="4" fillId="0" borderId="32" xfId="0" applyFont="1" applyBorder="1" applyAlignment="1">
      <alignment horizontal="center" vertical="center" wrapText="1"/>
    </xf>
    <xf numFmtId="0" fontId="0" fillId="0" borderId="0" xfId="0" applyFill="1"/>
    <xf numFmtId="0" fontId="0" fillId="0" borderId="1" xfId="0" applyFont="1" applyBorder="1" applyAlignment="1">
      <alignment vertical="center"/>
    </xf>
    <xf numFmtId="0" fontId="0" fillId="0" borderId="1" xfId="0" applyFont="1" applyBorder="1" applyAlignment="1">
      <alignment horizontal="left" vertical="center"/>
    </xf>
    <xf numFmtId="44" fontId="0" fillId="0" borderId="74" xfId="1" applyFont="1" applyBorder="1"/>
    <xf numFmtId="44" fontId="0" fillId="0" borderId="77" xfId="1" applyFont="1" applyBorder="1"/>
    <xf numFmtId="167" fontId="16" fillId="0" borderId="0" xfId="3" applyNumberFormat="1" applyFont="1" applyFill="1" applyBorder="1" applyAlignment="1">
      <alignment horizontal="left" vertical="center" wrapText="1"/>
    </xf>
    <xf numFmtId="167" fontId="16" fillId="0" borderId="7" xfId="3" applyNumberFormat="1" applyFont="1" applyFill="1" applyBorder="1" applyAlignment="1">
      <alignment horizontal="left" vertical="center" wrapText="1"/>
    </xf>
    <xf numFmtId="9" fontId="0" fillId="0" borderId="1" xfId="0" applyNumberFormat="1" applyBorder="1"/>
    <xf numFmtId="0" fontId="90" fillId="0" borderId="0" xfId="2" applyFont="1"/>
    <xf numFmtId="44" fontId="92" fillId="13" borderId="1" xfId="1" applyFont="1" applyFill="1" applyBorder="1" applyAlignment="1">
      <alignment horizontal="center" wrapText="1"/>
    </xf>
    <xf numFmtId="2" fontId="92" fillId="13" borderId="1" xfId="0" applyNumberFormat="1" applyFont="1" applyFill="1" applyBorder="1" applyAlignment="1">
      <alignment horizontal="left" vertical="center" wrapText="1" indent="1"/>
    </xf>
    <xf numFmtId="44" fontId="91" fillId="13" borderId="1" xfId="1" applyFont="1" applyFill="1" applyBorder="1" applyAlignment="1">
      <alignment horizontal="center" wrapText="1"/>
    </xf>
    <xf numFmtId="0" fontId="0" fillId="74" borderId="1" xfId="0" applyFill="1" applyBorder="1" applyAlignment="1">
      <alignment wrapText="1"/>
    </xf>
    <xf numFmtId="44" fontId="92" fillId="74" borderId="1" xfId="1" applyFont="1" applyFill="1" applyBorder="1" applyAlignment="1">
      <alignment horizontal="center" wrapText="1"/>
    </xf>
    <xf numFmtId="44" fontId="91" fillId="74" borderId="1" xfId="1" applyFont="1" applyFill="1" applyBorder="1" applyAlignment="1">
      <alignment horizontal="center" wrapText="1"/>
    </xf>
    <xf numFmtId="0" fontId="6" fillId="74" borderId="1" xfId="0" applyFont="1" applyFill="1" applyBorder="1" applyAlignment="1">
      <alignment wrapText="1"/>
    </xf>
    <xf numFmtId="0" fontId="8" fillId="0" borderId="4" xfId="0" applyFont="1" applyBorder="1" applyAlignment="1">
      <alignment horizontal="center" vertical="center"/>
    </xf>
    <xf numFmtId="0" fontId="0" fillId="0" borderId="4" xfId="0" applyBorder="1"/>
    <xf numFmtId="44" fontId="1" fillId="0" borderId="6" xfId="1" applyFont="1" applyBorder="1"/>
    <xf numFmtId="0" fontId="12" fillId="0" borderId="2" xfId="0" applyFont="1" applyBorder="1" applyAlignment="1">
      <alignment horizontal="center" vertical="center"/>
    </xf>
    <xf numFmtId="8" fontId="12" fillId="0" borderId="2" xfId="0" applyNumberFormat="1" applyFont="1" applyBorder="1" applyAlignment="1">
      <alignment horizontal="center" vertical="center"/>
    </xf>
    <xf numFmtId="44" fontId="1" fillId="0" borderId="2" xfId="1" applyFont="1" applyBorder="1"/>
    <xf numFmtId="0" fontId="12" fillId="0" borderId="3" xfId="0" applyFont="1" applyFill="1" applyBorder="1" applyAlignment="1">
      <alignment horizontal="center" vertical="center"/>
    </xf>
    <xf numFmtId="8" fontId="12" fillId="0" borderId="3" xfId="0" applyNumberFormat="1" applyFont="1" applyBorder="1" applyAlignment="1">
      <alignment horizontal="center" vertical="center"/>
    </xf>
    <xf numFmtId="44" fontId="1" fillId="0" borderId="3" xfId="1" applyFont="1" applyBorder="1"/>
    <xf numFmtId="0" fontId="12" fillId="0" borderId="3" xfId="0" applyFont="1" applyBorder="1" applyAlignment="1">
      <alignment horizontal="center" vertical="center" wrapText="1"/>
    </xf>
    <xf numFmtId="8" fontId="12" fillId="0" borderId="3" xfId="0" applyNumberFormat="1" applyFont="1" applyBorder="1" applyAlignment="1">
      <alignment horizontal="center" vertical="center" wrapText="1"/>
    </xf>
    <xf numFmtId="0" fontId="0" fillId="0" borderId="5" xfId="0" applyBorder="1"/>
    <xf numFmtId="0" fontId="0" fillId="0" borderId="6" xfId="0" applyBorder="1"/>
    <xf numFmtId="0" fontId="0" fillId="71" borderId="5" xfId="0" applyFill="1" applyBorder="1"/>
    <xf numFmtId="0" fontId="0" fillId="0" borderId="4" xfId="0" applyFont="1" applyBorder="1"/>
    <xf numFmtId="0" fontId="0" fillId="0" borderId="5" xfId="0" applyFont="1" applyBorder="1"/>
    <xf numFmtId="0" fontId="0" fillId="0" borderId="6" xfId="0" applyFont="1" applyBorder="1"/>
    <xf numFmtId="0" fontId="25" fillId="0" borderId="4" xfId="0" applyFont="1" applyBorder="1"/>
    <xf numFmtId="0" fontId="25" fillId="0" borderId="5" xfId="0" applyFont="1" applyBorder="1"/>
    <xf numFmtId="0" fontId="25" fillId="0" borderId="6" xfId="0" applyFont="1" applyBorder="1"/>
    <xf numFmtId="44" fontId="0" fillId="0" borderId="1" xfId="1" applyNumberFormat="1" applyFont="1" applyBorder="1"/>
    <xf numFmtId="0" fontId="0" fillId="13" borderId="4" xfId="0" applyFill="1" applyBorder="1" applyAlignment="1">
      <alignment horizontal="center" wrapText="1"/>
    </xf>
    <xf numFmtId="0" fontId="0" fillId="13" borderId="5" xfId="0" applyFill="1" applyBorder="1" applyAlignment="1">
      <alignment horizontal="center" wrapText="1"/>
    </xf>
    <xf numFmtId="0" fontId="0" fillId="13" borderId="6" xfId="0" applyFill="1" applyBorder="1" applyAlignment="1">
      <alignment horizontal="center" wrapText="1"/>
    </xf>
    <xf numFmtId="44" fontId="92" fillId="74" borderId="1" xfId="1" applyFont="1" applyFill="1" applyBorder="1" applyAlignment="1">
      <alignment horizontal="center" wrapText="1"/>
    </xf>
    <xf numFmtId="0" fontId="4" fillId="0" borderId="1" xfId="1" applyNumberFormat="1" applyFont="1" applyBorder="1" applyAlignment="1">
      <alignment horizontal="center" vertical="center" wrapText="1"/>
    </xf>
    <xf numFmtId="9" fontId="0" fillId="0" borderId="3" xfId="0" applyNumberFormat="1" applyBorder="1"/>
    <xf numFmtId="0" fontId="4" fillId="0" borderId="3" xfId="1" applyNumberFormat="1" applyFont="1" applyBorder="1" applyAlignment="1">
      <alignment horizontal="center" vertical="center" wrapText="1"/>
    </xf>
    <xf numFmtId="0" fontId="0" fillId="0" borderId="1" xfId="0" applyBorder="1" applyAlignment="1">
      <alignment horizontal="center"/>
    </xf>
    <xf numFmtId="0" fontId="4" fillId="0" borderId="1" xfId="0" applyFont="1" applyBorder="1" applyAlignment="1">
      <alignment horizontal="center" vertical="center" wrapText="1"/>
    </xf>
    <xf numFmtId="44" fontId="4" fillId="0" borderId="1" xfId="1" applyFont="1" applyBorder="1" applyAlignment="1">
      <alignment horizontal="center" vertical="center" wrapText="1"/>
    </xf>
    <xf numFmtId="0" fontId="8" fillId="13" borderId="1" xfId="0" applyFont="1" applyFill="1" applyBorder="1" applyAlignment="1">
      <alignment horizontal="center" vertical="center" wrapText="1"/>
    </xf>
    <xf numFmtId="0" fontId="12" fillId="0" borderId="1" xfId="0" applyFont="1" applyBorder="1" applyAlignment="1">
      <alignment horizontal="center" vertical="center"/>
    </xf>
    <xf numFmtId="0" fontId="0" fillId="0" borderId="3" xfId="0" applyBorder="1" applyAlignment="1">
      <alignment horizontal="center" wrapText="1"/>
    </xf>
    <xf numFmtId="0" fontId="0" fillId="7" borderId="1" xfId="0" applyFill="1" applyBorder="1" applyAlignment="1">
      <alignment horizontal="center" vertical="center"/>
    </xf>
    <xf numFmtId="0" fontId="0" fillId="0" borderId="0" xfId="0" applyFill="1" applyBorder="1" applyAlignment="1">
      <alignment horizontal="center"/>
    </xf>
    <xf numFmtId="0" fontId="10" fillId="0" borderId="0" xfId="0" applyFont="1" applyAlignment="1">
      <alignment horizontal="center" vertical="center" wrapText="1"/>
    </xf>
    <xf numFmtId="0" fontId="4" fillId="2" borderId="1" xfId="0" applyFont="1" applyFill="1" applyBorder="1" applyAlignment="1">
      <alignment horizontal="center" vertical="center" wrapText="1"/>
    </xf>
    <xf numFmtId="0" fontId="0" fillId="0" borderId="1" xfId="0" applyFill="1" applyBorder="1" applyAlignment="1">
      <alignment vertical="center" wrapText="1"/>
    </xf>
    <xf numFmtId="170" fontId="0" fillId="0" borderId="1" xfId="1" applyNumberFormat="1" applyFont="1" applyFill="1" applyBorder="1" applyAlignment="1">
      <alignment vertical="center"/>
    </xf>
    <xf numFmtId="0" fontId="2" fillId="78" borderId="1" xfId="0" applyFont="1" applyFill="1" applyBorder="1" applyAlignment="1">
      <alignment wrapText="1"/>
    </xf>
    <xf numFmtId="0" fontId="2" fillId="78" borderId="23" xfId="0" applyFont="1" applyFill="1" applyBorder="1" applyAlignment="1">
      <alignment wrapText="1"/>
    </xf>
    <xf numFmtId="0" fontId="2" fillId="78" borderId="74" xfId="0" applyFont="1" applyFill="1" applyBorder="1" applyAlignment="1">
      <alignment wrapText="1"/>
    </xf>
    <xf numFmtId="170" fontId="0" fillId="0" borderId="23" xfId="1" applyNumberFormat="1" applyFont="1" applyFill="1" applyBorder="1" applyAlignment="1">
      <alignment vertical="center"/>
    </xf>
    <xf numFmtId="170" fontId="0" fillId="0" borderId="74" xfId="1" applyNumberFormat="1" applyFont="1" applyFill="1" applyBorder="1" applyAlignment="1">
      <alignment vertical="center"/>
    </xf>
    <xf numFmtId="170" fontId="0" fillId="0" borderId="23" xfId="1" applyNumberFormat="1" applyFont="1" applyFill="1" applyBorder="1" applyAlignment="1">
      <alignment horizontal="right" vertical="center"/>
    </xf>
    <xf numFmtId="170" fontId="0" fillId="0" borderId="74" xfId="1" applyNumberFormat="1" applyFont="1" applyFill="1" applyBorder="1" applyAlignment="1">
      <alignment horizontal="right" vertical="center"/>
    </xf>
    <xf numFmtId="170" fontId="0" fillId="0" borderId="75" xfId="1" applyNumberFormat="1" applyFont="1" applyFill="1" applyBorder="1" applyAlignment="1">
      <alignment horizontal="right" vertical="center"/>
    </xf>
    <xf numFmtId="170" fontId="0" fillId="0" borderId="77" xfId="1" applyNumberFormat="1" applyFont="1" applyFill="1" applyBorder="1" applyAlignment="1">
      <alignment horizontal="right" vertical="center"/>
    </xf>
    <xf numFmtId="0" fontId="0" fillId="0" borderId="76" xfId="0" applyFill="1" applyBorder="1" applyAlignment="1">
      <alignment vertical="center" wrapText="1"/>
    </xf>
    <xf numFmtId="170" fontId="0" fillId="0" borderId="76" xfId="1" applyNumberFormat="1" applyFont="1" applyFill="1" applyBorder="1" applyAlignment="1">
      <alignment vertical="center"/>
    </xf>
    <xf numFmtId="170" fontId="0" fillId="0" borderId="77" xfId="1" applyNumberFormat="1" applyFont="1" applyFill="1" applyBorder="1" applyAlignment="1">
      <alignment vertical="center"/>
    </xf>
    <xf numFmtId="0" fontId="2" fillId="78" borderId="1" xfId="0" applyFont="1" applyFill="1" applyBorder="1" applyAlignment="1"/>
    <xf numFmtId="0" fontId="2" fillId="78" borderId="74" xfId="0" applyFont="1" applyFill="1" applyBorder="1" applyAlignment="1"/>
    <xf numFmtId="0" fontId="2" fillId="78" borderId="74" xfId="0" applyFont="1" applyFill="1" applyBorder="1" applyAlignment="1">
      <alignment horizontal="center"/>
    </xf>
    <xf numFmtId="0" fontId="2" fillId="78" borderId="23" xfId="0" applyFont="1" applyFill="1" applyBorder="1" applyAlignment="1">
      <alignment horizontal="center" wrapText="1"/>
    </xf>
    <xf numFmtId="0" fontId="2" fillId="78" borderId="74" xfId="0" applyFont="1" applyFill="1" applyBorder="1" applyAlignment="1">
      <alignment horizontal="center" wrapText="1"/>
    </xf>
    <xf numFmtId="0" fontId="2" fillId="78" borderId="6" xfId="0" applyFont="1" applyFill="1" applyBorder="1" applyAlignment="1">
      <alignment wrapText="1"/>
    </xf>
    <xf numFmtId="170" fontId="0" fillId="0" borderId="6" xfId="1" applyNumberFormat="1" applyFont="1" applyFill="1" applyBorder="1" applyAlignment="1">
      <alignment vertical="center"/>
    </xf>
    <xf numFmtId="170" fontId="0" fillId="0" borderId="6" xfId="1" applyNumberFormat="1" applyFont="1" applyFill="1" applyBorder="1" applyAlignment="1">
      <alignment horizontal="right" vertical="center"/>
    </xf>
    <xf numFmtId="170" fontId="0" fillId="0" borderId="93" xfId="1" applyNumberFormat="1" applyFont="1" applyFill="1" applyBorder="1" applyAlignment="1">
      <alignment horizontal="right" vertical="center"/>
    </xf>
    <xf numFmtId="0" fontId="2" fillId="78" borderId="1" xfId="0" applyFont="1" applyFill="1" applyBorder="1" applyAlignment="1">
      <alignment horizontal="center" wrapText="1"/>
    </xf>
    <xf numFmtId="0" fontId="2" fillId="78" borderId="1" xfId="0" applyFont="1" applyFill="1" applyBorder="1"/>
    <xf numFmtId="170" fontId="0" fillId="0" borderId="1" xfId="0" applyNumberFormat="1" applyBorder="1"/>
    <xf numFmtId="170" fontId="0" fillId="0" borderId="76" xfId="0" applyNumberFormat="1" applyBorder="1"/>
    <xf numFmtId="0" fontId="0" fillId="74" borderId="1" xfId="0" applyFill="1" applyBorder="1" applyAlignment="1">
      <alignment vertical="center" wrapText="1"/>
    </xf>
    <xf numFmtId="2" fontId="92" fillId="74" borderId="1" xfId="0" applyNumberFormat="1" applyFont="1" applyFill="1" applyBorder="1" applyAlignment="1">
      <alignment horizontal="left" wrapText="1"/>
    </xf>
    <xf numFmtId="0" fontId="2" fillId="78" borderId="1" xfId="0" applyFont="1" applyFill="1" applyBorder="1" applyAlignment="1">
      <alignment horizontal="center" vertical="center" wrapText="1"/>
    </xf>
    <xf numFmtId="0" fontId="2" fillId="78" borderId="74" xfId="0" applyFont="1" applyFill="1" applyBorder="1" applyAlignment="1">
      <alignment horizontal="center" vertical="center" wrapText="1"/>
    </xf>
    <xf numFmtId="170" fontId="0" fillId="0" borderId="74" xfId="1" applyNumberFormat="1" applyFont="1" applyBorder="1"/>
    <xf numFmtId="170" fontId="0" fillId="0" borderId="76" xfId="1" applyNumberFormat="1" applyFont="1" applyBorder="1"/>
    <xf numFmtId="170" fontId="0" fillId="0" borderId="77" xfId="1" applyNumberFormat="1" applyFont="1" applyBorder="1"/>
    <xf numFmtId="170" fontId="0" fillId="0" borderId="75" xfId="1" applyNumberFormat="1" applyFont="1" applyFill="1" applyBorder="1" applyAlignment="1">
      <alignment vertical="center"/>
    </xf>
    <xf numFmtId="170" fontId="0" fillId="0" borderId="4" xfId="1" applyNumberFormat="1" applyFont="1" applyFill="1" applyBorder="1" applyAlignment="1">
      <alignment vertical="center" wrapText="1"/>
    </xf>
    <xf numFmtId="170" fontId="0" fillId="0" borderId="79" xfId="1" applyNumberFormat="1" applyFont="1" applyFill="1" applyBorder="1" applyAlignment="1">
      <alignment vertical="center" wrapText="1"/>
    </xf>
    <xf numFmtId="170" fontId="0" fillId="0" borderId="1" xfId="1" applyNumberFormat="1" applyFont="1" applyBorder="1" applyAlignment="1">
      <alignment wrapText="1"/>
    </xf>
    <xf numFmtId="5" fontId="0" fillId="0" borderId="1" xfId="0" applyNumberFormat="1" applyBorder="1" applyAlignment="1">
      <alignment vertical="center" wrapText="1"/>
    </xf>
    <xf numFmtId="44" fontId="6" fillId="0" borderId="1" xfId="0" applyNumberFormat="1" applyFont="1" applyBorder="1"/>
    <xf numFmtId="44" fontId="6" fillId="0" borderId="76" xfId="0" applyNumberFormat="1" applyFont="1" applyBorder="1"/>
    <xf numFmtId="0" fontId="13" fillId="0" borderId="4" xfId="0" applyFont="1" applyBorder="1" applyAlignment="1">
      <alignment horizontal="center" vertical="center" wrapText="1"/>
    </xf>
    <xf numFmtId="0" fontId="13" fillId="7" borderId="23" xfId="0" applyFont="1" applyFill="1" applyBorder="1" applyAlignment="1">
      <alignment horizontal="center" vertical="center" wrapText="1"/>
    </xf>
    <xf numFmtId="0" fontId="13" fillId="7" borderId="74" xfId="0" applyFont="1" applyFill="1" applyBorder="1" applyAlignment="1">
      <alignment horizontal="center" vertical="center" wrapText="1"/>
    </xf>
    <xf numFmtId="0" fontId="13" fillId="0" borderId="23" xfId="0" applyFont="1" applyBorder="1" applyAlignment="1">
      <alignment horizontal="center" vertical="center" wrapText="1"/>
    </xf>
    <xf numFmtId="0" fontId="8" fillId="0" borderId="74" xfId="0" applyFont="1" applyBorder="1" applyAlignment="1">
      <alignment vertical="center" wrapText="1"/>
    </xf>
    <xf numFmtId="0" fontId="13" fillId="0" borderId="74" xfId="0" applyFont="1" applyBorder="1" applyAlignment="1">
      <alignment horizontal="center" vertical="center" wrapText="1"/>
    </xf>
    <xf numFmtId="0" fontId="13" fillId="0" borderId="75" xfId="0" applyFont="1" applyBorder="1" applyAlignment="1">
      <alignment horizontal="center" vertical="center" wrapText="1"/>
    </xf>
    <xf numFmtId="0" fontId="13" fillId="0" borderId="77" xfId="0" applyFont="1" applyBorder="1" applyAlignment="1">
      <alignment horizontal="center" vertical="center" wrapText="1"/>
    </xf>
    <xf numFmtId="0" fontId="13" fillId="0" borderId="98" xfId="0" applyFont="1" applyBorder="1" applyAlignment="1">
      <alignment horizontal="center" vertical="center" wrapText="1"/>
    </xf>
    <xf numFmtId="0" fontId="13" fillId="0" borderId="99" xfId="0" applyFont="1" applyBorder="1" applyAlignment="1">
      <alignment horizontal="center" vertical="center" wrapText="1"/>
    </xf>
    <xf numFmtId="0" fontId="0" fillId="12" borderId="6" xfId="0" applyFill="1" applyBorder="1" applyAlignment="1">
      <alignment horizontal="center" vertical="center"/>
    </xf>
    <xf numFmtId="44" fontId="13" fillId="12" borderId="6" xfId="1" applyFont="1" applyFill="1" applyBorder="1" applyAlignment="1">
      <alignment horizontal="center" vertical="center" wrapText="1"/>
    </xf>
    <xf numFmtId="0" fontId="13" fillId="12" borderId="23" xfId="0" applyFont="1" applyFill="1" applyBorder="1" applyAlignment="1">
      <alignment horizontal="center" vertical="center" wrapText="1"/>
    </xf>
    <xf numFmtId="0" fontId="13" fillId="12" borderId="74" xfId="0" applyFont="1" applyFill="1" applyBorder="1" applyAlignment="1">
      <alignment horizontal="center" vertical="center" wrapText="1"/>
    </xf>
    <xf numFmtId="44" fontId="13" fillId="12" borderId="23" xfId="1" applyFont="1" applyFill="1" applyBorder="1" applyAlignment="1">
      <alignment horizontal="center" vertical="center" wrapText="1"/>
    </xf>
    <xf numFmtId="44" fontId="13" fillId="12" borderId="74" xfId="1" applyFont="1" applyFill="1" applyBorder="1" applyAlignment="1">
      <alignment horizontal="center" vertical="center" wrapText="1"/>
    </xf>
    <xf numFmtId="44" fontId="13" fillId="12" borderId="75" xfId="1" applyFont="1" applyFill="1" applyBorder="1" applyAlignment="1">
      <alignment horizontal="center" vertical="center" wrapText="1"/>
    </xf>
    <xf numFmtId="44" fontId="13" fillId="12" borderId="76" xfId="1" applyFont="1" applyFill="1" applyBorder="1" applyAlignment="1">
      <alignment horizontal="center" vertical="center" wrapText="1"/>
    </xf>
    <xf numFmtId="44" fontId="13" fillId="12" borderId="77" xfId="1" applyFont="1" applyFill="1" applyBorder="1" applyAlignment="1">
      <alignment horizontal="center" vertical="center" wrapText="1"/>
    </xf>
    <xf numFmtId="0" fontId="0" fillId="12" borderId="23" xfId="0" applyFill="1" applyBorder="1" applyAlignment="1">
      <alignment horizontal="center" vertical="center"/>
    </xf>
    <xf numFmtId="0" fontId="0" fillId="12" borderId="74" xfId="0" applyFill="1" applyBorder="1" applyAlignment="1">
      <alignment horizontal="center" vertical="center"/>
    </xf>
    <xf numFmtId="0" fontId="0" fillId="7" borderId="23" xfId="0" applyFill="1" applyBorder="1" applyAlignment="1">
      <alignment horizontal="center" vertical="center"/>
    </xf>
    <xf numFmtId="0" fontId="0" fillId="7" borderId="74" xfId="0" applyFill="1" applyBorder="1" applyAlignment="1">
      <alignment horizontal="center" vertical="center"/>
    </xf>
    <xf numFmtId="44" fontId="0" fillId="7" borderId="23" xfId="0" applyNumberFormat="1" applyFill="1" applyBorder="1"/>
    <xf numFmtId="44" fontId="0" fillId="7" borderId="74" xfId="0" applyNumberFormat="1" applyFill="1" applyBorder="1"/>
    <xf numFmtId="44" fontId="0" fillId="7" borderId="75" xfId="0" applyNumberFormat="1" applyFill="1" applyBorder="1"/>
    <xf numFmtId="44" fontId="0" fillId="7" borderId="76" xfId="0" applyNumberFormat="1" applyFill="1" applyBorder="1"/>
    <xf numFmtId="44" fontId="0" fillId="7" borderId="77" xfId="0" applyNumberFormat="1" applyFill="1" applyBorder="1"/>
    <xf numFmtId="9" fontId="0" fillId="0" borderId="76" xfId="0" applyNumberFormat="1" applyBorder="1"/>
    <xf numFmtId="0" fontId="4" fillId="0" borderId="76" xfId="1" applyNumberFormat="1" applyFont="1" applyBorder="1" applyAlignment="1">
      <alignment horizontal="center" vertical="center" wrapText="1"/>
    </xf>
    <xf numFmtId="44" fontId="4" fillId="0" borderId="76" xfId="1" applyFont="1" applyBorder="1" applyAlignment="1">
      <alignment horizontal="center" vertical="center" wrapText="1"/>
    </xf>
    <xf numFmtId="44" fontId="13" fillId="12" borderId="93" xfId="1" applyFont="1" applyFill="1" applyBorder="1" applyAlignment="1">
      <alignment horizontal="center" vertical="center" wrapText="1"/>
    </xf>
    <xf numFmtId="0" fontId="6" fillId="0" borderId="1" xfId="0" applyFont="1" applyBorder="1" applyAlignment="1">
      <alignment horizontal="center" wrapText="1"/>
    </xf>
    <xf numFmtId="164" fontId="8" fillId="7" borderId="23" xfId="0" applyNumberFormat="1" applyFont="1" applyFill="1" applyBorder="1" applyAlignment="1">
      <alignment horizontal="center" vertical="center" wrapText="1"/>
    </xf>
    <xf numFmtId="164" fontId="8" fillId="7" borderId="1" xfId="0" applyNumberFormat="1" applyFont="1" applyFill="1" applyBorder="1" applyAlignment="1">
      <alignment horizontal="center" vertical="center" wrapText="1"/>
    </xf>
    <xf numFmtId="164" fontId="8" fillId="7" borderId="74" xfId="0" applyNumberFormat="1" applyFont="1" applyFill="1" applyBorder="1" applyAlignment="1">
      <alignment horizontal="center" vertical="center" wrapText="1"/>
    </xf>
    <xf numFmtId="164" fontId="8" fillId="7" borderId="75" xfId="0" applyNumberFormat="1" applyFont="1" applyFill="1" applyBorder="1" applyAlignment="1">
      <alignment horizontal="center" vertical="center" wrapText="1"/>
    </xf>
    <xf numFmtId="164" fontId="8" fillId="7" borderId="76" xfId="0" applyNumberFormat="1" applyFont="1" applyFill="1" applyBorder="1" applyAlignment="1">
      <alignment horizontal="center" vertical="center" wrapText="1"/>
    </xf>
    <xf numFmtId="164" fontId="8" fillId="7" borderId="77" xfId="0" applyNumberFormat="1" applyFont="1" applyFill="1" applyBorder="1" applyAlignment="1">
      <alignment horizontal="center" vertical="center" wrapText="1"/>
    </xf>
    <xf numFmtId="164" fontId="13" fillId="7" borderId="23" xfId="0" applyNumberFormat="1" applyFont="1" applyFill="1" applyBorder="1" applyAlignment="1">
      <alignment horizontal="center" vertical="center" wrapText="1"/>
    </xf>
    <xf numFmtId="164" fontId="13" fillId="7" borderId="1" xfId="0" applyNumberFormat="1" applyFont="1" applyFill="1" applyBorder="1" applyAlignment="1">
      <alignment horizontal="center" vertical="center" wrapText="1"/>
    </xf>
    <xf numFmtId="164" fontId="13" fillId="7" borderId="75" xfId="0" applyNumberFormat="1" applyFont="1" applyFill="1" applyBorder="1" applyAlignment="1">
      <alignment horizontal="center" vertical="center" wrapText="1"/>
    </xf>
    <xf numFmtId="164" fontId="13" fillId="7" borderId="76" xfId="0" applyNumberFormat="1" applyFont="1" applyFill="1" applyBorder="1" applyAlignment="1">
      <alignment horizontal="center" vertical="center" wrapText="1"/>
    </xf>
    <xf numFmtId="0" fontId="0" fillId="13" borderId="23" xfId="0" applyFill="1" applyBorder="1" applyAlignment="1">
      <alignment horizontal="center" vertical="center" wrapText="1"/>
    </xf>
    <xf numFmtId="0" fontId="0" fillId="13" borderId="1" xfId="0" applyFill="1" applyBorder="1" applyAlignment="1">
      <alignment horizontal="center" vertical="center" wrapText="1"/>
    </xf>
    <xf numFmtId="0" fontId="0" fillId="13" borderId="74" xfId="0" applyFill="1" applyBorder="1" applyAlignment="1">
      <alignment horizontal="center" vertical="center" wrapText="1"/>
    </xf>
    <xf numFmtId="0" fontId="0" fillId="0" borderId="0" xfId="0" applyBorder="1" applyAlignment="1"/>
    <xf numFmtId="44" fontId="6" fillId="0" borderId="4" xfId="1" applyFont="1" applyBorder="1"/>
    <xf numFmtId="0" fontId="77" fillId="79" borderId="1" xfId="0" applyFont="1" applyFill="1" applyBorder="1" applyAlignment="1">
      <alignment wrapText="1"/>
    </xf>
    <xf numFmtId="0" fontId="77" fillId="79" borderId="1" xfId="0" applyFont="1" applyFill="1" applyBorder="1" applyAlignment="1">
      <alignment horizontal="center" vertical="center" wrapText="1"/>
    </xf>
    <xf numFmtId="0" fontId="77" fillId="79" borderId="4" xfId="0" applyFont="1" applyFill="1" applyBorder="1" applyAlignment="1">
      <alignment wrapText="1"/>
    </xf>
    <xf numFmtId="0" fontId="2" fillId="79" borderId="1" xfId="0" applyFont="1" applyFill="1" applyBorder="1" applyAlignment="1">
      <alignment wrapText="1"/>
    </xf>
    <xf numFmtId="0" fontId="77" fillId="79" borderId="74" xfId="0" applyFont="1" applyFill="1" applyBorder="1" applyAlignment="1">
      <alignment wrapText="1"/>
    </xf>
    <xf numFmtId="170" fontId="6" fillId="0" borderId="1" xfId="0" applyNumberFormat="1" applyFont="1" applyBorder="1"/>
    <xf numFmtId="170" fontId="6" fillId="0" borderId="4" xfId="1" applyNumberFormat="1" applyFont="1" applyBorder="1"/>
    <xf numFmtId="170" fontId="6" fillId="0" borderId="76" xfId="0" applyNumberFormat="1" applyFont="1" applyBorder="1"/>
    <xf numFmtId="170" fontId="6" fillId="0" borderId="79" xfId="1" applyNumberFormat="1" applyFont="1" applyBorder="1"/>
    <xf numFmtId="170" fontId="0" fillId="72" borderId="1" xfId="0" applyNumberFormat="1" applyFill="1" applyBorder="1"/>
    <xf numFmtId="44" fontId="22" fillId="0" borderId="1" xfId="1" applyNumberFormat="1" applyFont="1" applyBorder="1" applyAlignment="1">
      <alignment vertical="center" wrapText="1"/>
    </xf>
    <xf numFmtId="0" fontId="0" fillId="0" borderId="0" xfId="0" applyFill="1" applyBorder="1"/>
    <xf numFmtId="0" fontId="0" fillId="0" borderId="0" xfId="0" applyFont="1" applyFill="1" applyBorder="1" applyAlignment="1"/>
    <xf numFmtId="44" fontId="6" fillId="0" borderId="1" xfId="0" applyNumberFormat="1" applyFont="1" applyBorder="1" applyAlignment="1">
      <alignment horizontal="center" wrapText="1"/>
    </xf>
    <xf numFmtId="9" fontId="6" fillId="0" borderId="1" xfId="0" applyNumberFormat="1" applyFont="1" applyBorder="1" applyAlignment="1">
      <alignment horizontal="center" wrapText="1"/>
    </xf>
    <xf numFmtId="44" fontId="6" fillId="0" borderId="1" xfId="1" applyFont="1" applyBorder="1" applyAlignment="1">
      <alignment horizontal="center" wrapText="1"/>
    </xf>
    <xf numFmtId="44" fontId="6" fillId="6" borderId="1" xfId="0" applyNumberFormat="1" applyFont="1" applyFill="1" applyBorder="1" applyAlignment="1">
      <alignment horizontal="center" wrapText="1"/>
    </xf>
    <xf numFmtId="0" fontId="8" fillId="6" borderId="1" xfId="0" applyFont="1" applyFill="1" applyBorder="1" applyAlignment="1">
      <alignment horizontal="center" vertical="center"/>
    </xf>
    <xf numFmtId="0" fontId="0" fillId="0" borderId="0" xfId="0" applyFont="1" applyFill="1" applyBorder="1" applyAlignment="1">
      <alignment wrapText="1"/>
    </xf>
    <xf numFmtId="44" fontId="0" fillId="0" borderId="0" xfId="1" applyFont="1" applyFill="1" applyBorder="1"/>
    <xf numFmtId="44" fontId="6" fillId="0" borderId="0" xfId="1" applyFont="1" applyFill="1" applyBorder="1" applyAlignment="1">
      <alignment horizontal="center" wrapText="1"/>
    </xf>
    <xf numFmtId="0" fontId="6" fillId="0" borderId="0" xfId="0" applyFont="1" applyAlignment="1">
      <alignment horizontal="center" wrapText="1"/>
    </xf>
    <xf numFmtId="164" fontId="6" fillId="0" borderId="1" xfId="0" applyNumberFormat="1" applyFont="1" applyBorder="1" applyAlignment="1">
      <alignment horizontal="center" wrapText="1"/>
    </xf>
    <xf numFmtId="9" fontId="94" fillId="0" borderId="1" xfId="1" applyNumberFormat="1" applyFont="1" applyFill="1" applyBorder="1" applyAlignment="1">
      <alignment horizontal="center" wrapText="1"/>
    </xf>
    <xf numFmtId="0" fontId="94" fillId="0" borderId="1" xfId="1" applyNumberFormat="1" applyFont="1" applyFill="1" applyBorder="1" applyAlignment="1">
      <alignment horizontal="center" wrapText="1"/>
    </xf>
    <xf numFmtId="170" fontId="6" fillId="0" borderId="1" xfId="1" applyNumberFormat="1" applyFont="1" applyFill="1" applyBorder="1" applyAlignment="1">
      <alignment horizontal="center" wrapText="1"/>
    </xf>
    <xf numFmtId="170" fontId="1" fillId="0" borderId="1" xfId="1" applyNumberFormat="1" applyFont="1" applyBorder="1" applyAlignment="1">
      <alignment horizontal="center" vertical="center"/>
    </xf>
    <xf numFmtId="170" fontId="0" fillId="0" borderId="1" xfId="0" applyNumberFormat="1" applyFont="1" applyBorder="1" applyAlignment="1">
      <alignment horizontal="center" vertical="center"/>
    </xf>
    <xf numFmtId="170" fontId="8" fillId="0" borderId="1" xfId="0" applyNumberFormat="1" applyFont="1" applyFill="1" applyBorder="1" applyAlignment="1">
      <alignment horizontal="center" vertical="center" wrapText="1"/>
    </xf>
    <xf numFmtId="44" fontId="0" fillId="0" borderId="1" xfId="1" applyNumberFormat="1" applyFont="1" applyFill="1" applyBorder="1" applyAlignment="1">
      <alignment vertical="center"/>
    </xf>
    <xf numFmtId="170" fontId="0" fillId="0" borderId="0" xfId="1" applyNumberFormat="1" applyFont="1" applyFill="1" applyBorder="1" applyAlignment="1">
      <alignment vertical="center"/>
    </xf>
    <xf numFmtId="8" fontId="0" fillId="0" borderId="72" xfId="0" applyNumberFormat="1" applyBorder="1"/>
    <xf numFmtId="8" fontId="0" fillId="0" borderId="76" xfId="0" applyNumberFormat="1" applyBorder="1"/>
    <xf numFmtId="0" fontId="0" fillId="13" borderId="23" xfId="0" applyFill="1" applyBorder="1" applyAlignment="1">
      <alignment horizontal="center" vertical="center" wrapText="1"/>
    </xf>
    <xf numFmtId="0" fontId="0" fillId="13" borderId="1" xfId="0" applyFill="1" applyBorder="1" applyAlignment="1">
      <alignment horizontal="center" vertical="center" wrapText="1"/>
    </xf>
    <xf numFmtId="0" fontId="18" fillId="0" borderId="0" xfId="0" applyFont="1"/>
    <xf numFmtId="0" fontId="18" fillId="0" borderId="81" xfId="0" applyFont="1" applyBorder="1"/>
    <xf numFmtId="0" fontId="67" fillId="0" borderId="71" xfId="0" applyFont="1" applyBorder="1"/>
    <xf numFmtId="44" fontId="18" fillId="0" borderId="72" xfId="1" applyFont="1" applyBorder="1"/>
    <xf numFmtId="44" fontId="18" fillId="0" borderId="73" xfId="1" applyFont="1" applyBorder="1"/>
    <xf numFmtId="0" fontId="18" fillId="0" borderId="23" xfId="0" applyFont="1" applyBorder="1"/>
    <xf numFmtId="44" fontId="18" fillId="0" borderId="1" xfId="1" applyFont="1" applyBorder="1"/>
    <xf numFmtId="44" fontId="18" fillId="0" borderId="74" xfId="1" applyFont="1" applyBorder="1"/>
    <xf numFmtId="0" fontId="67" fillId="0" borderId="0" xfId="0" applyFont="1"/>
    <xf numFmtId="0" fontId="18" fillId="0" borderId="75" xfId="0" applyFont="1" applyBorder="1"/>
    <xf numFmtId="44" fontId="18" fillId="77" borderId="76" xfId="1" applyFont="1" applyFill="1" applyBorder="1"/>
    <xf numFmtId="44" fontId="18" fillId="77" borderId="77" xfId="1" applyFont="1" applyFill="1" applyBorder="1"/>
    <xf numFmtId="0" fontId="18" fillId="0" borderId="87" xfId="0" applyFont="1" applyBorder="1"/>
    <xf numFmtId="44" fontId="18" fillId="0" borderId="8" xfId="1" applyFont="1" applyBorder="1"/>
    <xf numFmtId="44" fontId="18" fillId="0" borderId="88" xfId="1" applyFont="1" applyBorder="1"/>
    <xf numFmtId="0" fontId="18" fillId="77" borderId="0" xfId="0" applyFont="1" applyFill="1"/>
    <xf numFmtId="0" fontId="67" fillId="0" borderId="0" xfId="0" applyFont="1" applyFill="1"/>
    <xf numFmtId="0" fontId="18" fillId="0" borderId="0" xfId="0" applyFont="1" applyFill="1"/>
    <xf numFmtId="9" fontId="18" fillId="0" borderId="72" xfId="0" applyNumberFormat="1" applyFont="1" applyBorder="1" applyAlignment="1">
      <alignment horizontal="center"/>
    </xf>
    <xf numFmtId="9" fontId="18" fillId="0" borderId="1" xfId="0" applyNumberFormat="1" applyFont="1" applyBorder="1" applyAlignment="1">
      <alignment horizontal="center"/>
    </xf>
    <xf numFmtId="9" fontId="18" fillId="77" borderId="76" xfId="0" applyNumberFormat="1" applyFont="1" applyFill="1" applyBorder="1" applyAlignment="1">
      <alignment horizontal="center"/>
    </xf>
    <xf numFmtId="0" fontId="18" fillId="0" borderId="8" xfId="0" applyFont="1" applyBorder="1" applyAlignment="1">
      <alignment horizontal="center"/>
    </xf>
    <xf numFmtId="0" fontId="67" fillId="0" borderId="35" xfId="0" applyFont="1" applyBorder="1" applyAlignment="1">
      <alignment horizontal="center" wrapText="1"/>
    </xf>
    <xf numFmtId="44" fontId="67" fillId="0" borderId="81" xfId="1" applyFont="1" applyBorder="1" applyAlignment="1">
      <alignment wrapText="1"/>
    </xf>
    <xf numFmtId="44" fontId="67" fillId="0" borderId="82" xfId="1" applyFont="1" applyBorder="1" applyAlignment="1">
      <alignment wrapText="1"/>
    </xf>
    <xf numFmtId="44" fontId="18" fillId="0" borderId="0" xfId="0" applyNumberFormat="1" applyFont="1"/>
    <xf numFmtId="0" fontId="3" fillId="0" borderId="0" xfId="2" quotePrefix="1"/>
    <xf numFmtId="44" fontId="13" fillId="12" borderId="4" xfId="1" applyFont="1" applyFill="1" applyBorder="1" applyAlignment="1">
      <alignment horizontal="center" vertical="center" wrapText="1"/>
    </xf>
    <xf numFmtId="44" fontId="13" fillId="12" borderId="79" xfId="1" applyFont="1" applyFill="1" applyBorder="1" applyAlignment="1">
      <alignment horizontal="center" vertical="center" wrapText="1"/>
    </xf>
    <xf numFmtId="0" fontId="0" fillId="13" borderId="4" xfId="0" applyFill="1" applyBorder="1" applyAlignment="1">
      <alignment horizontal="center" vertical="center" wrapText="1"/>
    </xf>
    <xf numFmtId="0" fontId="13" fillId="12" borderId="4" xfId="0" applyFont="1" applyFill="1" applyBorder="1" applyAlignment="1">
      <alignment horizontal="center" vertical="center" wrapText="1"/>
    </xf>
    <xf numFmtId="0" fontId="3" fillId="0" borderId="0" xfId="2" applyAlignment="1">
      <alignment horizontal="left" vertical="top"/>
    </xf>
    <xf numFmtId="7" fontId="0" fillId="0" borderId="0" xfId="1" applyNumberFormat="1" applyFont="1" applyBorder="1" applyAlignment="1">
      <alignment horizontal="left"/>
    </xf>
    <xf numFmtId="0" fontId="18" fillId="2" borderId="1" xfId="0" applyFont="1" applyFill="1" applyBorder="1" applyAlignment="1"/>
    <xf numFmtId="0" fontId="18" fillId="2" borderId="1" xfId="0" applyFont="1" applyFill="1" applyBorder="1" applyAlignment="1">
      <alignment horizontal="center"/>
    </xf>
    <xf numFmtId="44" fontId="98" fillId="13" borderId="1" xfId="1" applyFont="1" applyFill="1" applyBorder="1" applyAlignment="1">
      <alignment horizontal="center" wrapText="1"/>
    </xf>
    <xf numFmtId="2" fontId="98" fillId="13" borderId="1" xfId="0" applyNumberFormat="1" applyFont="1" applyFill="1" applyBorder="1" applyAlignment="1">
      <alignment horizontal="center" wrapText="1"/>
    </xf>
    <xf numFmtId="0" fontId="67" fillId="2" borderId="1" xfId="0" applyFont="1" applyFill="1" applyBorder="1" applyAlignment="1"/>
    <xf numFmtId="0" fontId="18" fillId="2" borderId="23" xfId="0" applyFont="1" applyFill="1" applyBorder="1" applyAlignment="1">
      <alignment horizontal="center"/>
    </xf>
    <xf numFmtId="44" fontId="18" fillId="13" borderId="74" xfId="1" applyFont="1" applyFill="1" applyBorder="1" applyAlignment="1">
      <alignment horizontal="center" wrapText="1"/>
    </xf>
    <xf numFmtId="0" fontId="18" fillId="2" borderId="23" xfId="0" applyFont="1" applyFill="1" applyBorder="1" applyAlignment="1"/>
    <xf numFmtId="0" fontId="18" fillId="2" borderId="74" xfId="0" applyFont="1" applyFill="1" applyBorder="1" applyAlignment="1"/>
    <xf numFmtId="0" fontId="67" fillId="2" borderId="23" xfId="0" applyFont="1" applyFill="1" applyBorder="1" applyAlignment="1"/>
    <xf numFmtId="0" fontId="67" fillId="2" borderId="74" xfId="0" applyFont="1" applyFill="1" applyBorder="1" applyAlignment="1"/>
    <xf numFmtId="7" fontId="18" fillId="0" borderId="75" xfId="1" applyNumberFormat="1" applyFont="1" applyBorder="1" applyAlignment="1">
      <alignment horizontal="right"/>
    </xf>
    <xf numFmtId="7" fontId="18" fillId="0" borderId="76" xfId="1" applyNumberFormat="1" applyFont="1" applyBorder="1" applyAlignment="1">
      <alignment horizontal="right"/>
    </xf>
    <xf numFmtId="7" fontId="18" fillId="0" borderId="77" xfId="1" applyNumberFormat="1" applyFont="1" applyBorder="1" applyAlignment="1">
      <alignment horizontal="right"/>
    </xf>
    <xf numFmtId="7" fontId="18" fillId="0" borderId="76" xfId="0" applyNumberFormat="1" applyFont="1" applyBorder="1" applyAlignment="1">
      <alignment horizontal="right"/>
    </xf>
    <xf numFmtId="9" fontId="18" fillId="0" borderId="76" xfId="0" applyNumberFormat="1" applyFont="1" applyBorder="1" applyAlignment="1">
      <alignment horizontal="right"/>
    </xf>
    <xf numFmtId="0" fontId="18" fillId="0" borderId="76" xfId="0" applyFont="1" applyBorder="1" applyAlignment="1">
      <alignment horizontal="right"/>
    </xf>
    <xf numFmtId="44" fontId="18" fillId="0" borderId="76" xfId="1" applyFont="1" applyBorder="1" applyAlignment="1">
      <alignment horizontal="right"/>
    </xf>
    <xf numFmtId="44" fontId="18" fillId="0" borderId="76" xfId="1" applyNumberFormat="1" applyFont="1" applyBorder="1" applyAlignment="1">
      <alignment horizontal="right"/>
    </xf>
    <xf numFmtId="44" fontId="18" fillId="0" borderId="77" xfId="0" applyNumberFormat="1" applyFont="1" applyBorder="1" applyAlignment="1">
      <alignment horizontal="right"/>
    </xf>
    <xf numFmtId="7" fontId="99" fillId="73" borderId="75" xfId="0" applyNumberFormat="1" applyFont="1" applyFill="1" applyBorder="1"/>
    <xf numFmtId="44" fontId="99" fillId="73" borderId="77" xfId="0" applyNumberFormat="1" applyFont="1" applyFill="1" applyBorder="1"/>
    <xf numFmtId="0" fontId="85" fillId="73" borderId="71" xfId="0" applyFont="1" applyFill="1" applyBorder="1"/>
    <xf numFmtId="0" fontId="85" fillId="73" borderId="73" xfId="0" applyFont="1" applyFill="1" applyBorder="1"/>
    <xf numFmtId="0" fontId="85" fillId="73" borderId="23" xfId="0" applyFont="1" applyFill="1" applyBorder="1"/>
    <xf numFmtId="0" fontId="85" fillId="73" borderId="74" xfId="0" applyFont="1" applyFill="1"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44" fontId="4" fillId="0" borderId="0" xfId="1" applyFont="1" applyBorder="1" applyAlignment="1">
      <alignment horizontal="center" vertical="center" wrapText="1"/>
    </xf>
    <xf numFmtId="44" fontId="4" fillId="0" borderId="1" xfId="1" applyFont="1" applyBorder="1" applyAlignment="1">
      <alignment horizontal="center" vertical="center" wrapText="1"/>
    </xf>
    <xf numFmtId="0" fontId="4" fillId="0" borderId="1" xfId="0" applyFont="1" applyBorder="1" applyAlignment="1">
      <alignment horizontal="center" vertical="center" wrapText="1"/>
    </xf>
    <xf numFmtId="44" fontId="4" fillId="0" borderId="1" xfId="1" applyFont="1" applyBorder="1" applyAlignment="1">
      <alignment horizontal="center" vertical="center" wrapText="1"/>
    </xf>
    <xf numFmtId="44" fontId="4" fillId="0" borderId="33" xfId="1" applyFont="1" applyBorder="1" applyAlignment="1">
      <alignment horizontal="center" vertical="center" wrapText="1"/>
    </xf>
    <xf numFmtId="44" fontId="4" fillId="0" borderId="3" xfId="1" applyFont="1" applyBorder="1" applyAlignment="1">
      <alignment horizontal="center" vertical="center" wrapText="1"/>
    </xf>
    <xf numFmtId="0" fontId="19" fillId="75" borderId="0" xfId="0" applyFont="1" applyFill="1" applyAlignment="1">
      <alignment horizontal="left" vertical="center"/>
    </xf>
    <xf numFmtId="0" fontId="97" fillId="71" borderId="0" xfId="0" applyFont="1" applyFill="1" applyBorder="1" applyAlignment="1">
      <alignment horizontal="center" vertical="center"/>
    </xf>
    <xf numFmtId="0" fontId="97" fillId="71" borderId="8" xfId="0" applyFont="1" applyFill="1" applyBorder="1" applyAlignment="1">
      <alignment horizontal="center" vertical="center"/>
    </xf>
    <xf numFmtId="169" fontId="97" fillId="75" borderId="96" xfId="0" applyNumberFormat="1" applyFont="1" applyFill="1" applyBorder="1" applyAlignment="1">
      <alignment horizontal="left" vertical="center"/>
    </xf>
    <xf numFmtId="0" fontId="19" fillId="71" borderId="42" xfId="0" applyFont="1" applyFill="1" applyBorder="1" applyAlignment="1">
      <alignment vertical="center"/>
    </xf>
    <xf numFmtId="0" fontId="19" fillId="0" borderId="0" xfId="0" applyFont="1" applyAlignment="1">
      <alignment vertical="center"/>
    </xf>
    <xf numFmtId="0" fontId="19" fillId="0" borderId="63" xfId="0" applyFont="1" applyBorder="1" applyAlignment="1">
      <alignment vertical="center"/>
    </xf>
    <xf numFmtId="0" fontId="19" fillId="0" borderId="0" xfId="0" applyFont="1" applyBorder="1" applyAlignment="1">
      <alignment vertical="center"/>
    </xf>
    <xf numFmtId="0" fontId="19" fillId="0" borderId="19" xfId="0" applyFont="1" applyBorder="1" applyAlignment="1">
      <alignment vertical="center"/>
    </xf>
    <xf numFmtId="0" fontId="2" fillId="71" borderId="0" xfId="0" applyFont="1" applyFill="1" applyBorder="1" applyAlignment="1">
      <alignment horizontal="center" vertical="center"/>
    </xf>
    <xf numFmtId="0" fontId="2" fillId="71" borderId="8" xfId="0" applyFont="1" applyFill="1" applyBorder="1" applyAlignment="1">
      <alignment horizontal="left" vertical="center" wrapText="1"/>
    </xf>
    <xf numFmtId="0" fontId="0" fillId="71" borderId="42" xfId="0" applyFont="1" applyFill="1" applyBorder="1" applyAlignment="1"/>
    <xf numFmtId="0" fontId="0" fillId="0" borderId="0" xfId="0" applyFont="1" applyBorder="1" applyAlignment="1"/>
    <xf numFmtId="0" fontId="0" fillId="0" borderId="63" xfId="0" applyFont="1" applyBorder="1" applyAlignment="1"/>
    <xf numFmtId="0" fontId="0" fillId="0" borderId="19" xfId="0" applyFont="1" applyBorder="1" applyAlignment="1"/>
    <xf numFmtId="0" fontId="2" fillId="5" borderId="87" xfId="0" applyFont="1" applyFill="1" applyBorder="1" applyAlignment="1">
      <alignment vertical="center" wrapText="1"/>
    </xf>
    <xf numFmtId="0" fontId="2" fillId="5" borderId="13" xfId="0" applyFont="1" applyFill="1" applyBorder="1" applyAlignment="1">
      <alignment vertical="center" wrapText="1"/>
    </xf>
    <xf numFmtId="169" fontId="2" fillId="5" borderId="13" xfId="0" applyNumberFormat="1" applyFont="1" applyFill="1" applyBorder="1" applyAlignment="1">
      <alignment horizontal="left" vertical="center" wrapText="1"/>
    </xf>
    <xf numFmtId="169" fontId="2" fillId="5" borderId="33" xfId="0" applyNumberFormat="1" applyFont="1" applyFill="1" applyBorder="1" applyAlignment="1">
      <alignment horizontal="left" vertical="center" wrapText="1"/>
    </xf>
    <xf numFmtId="169" fontId="2" fillId="5" borderId="35" xfId="0" applyNumberFormat="1" applyFont="1" applyFill="1" applyBorder="1" applyAlignment="1">
      <alignment horizontal="left" vertical="center" wrapText="1"/>
    </xf>
    <xf numFmtId="0" fontId="2" fillId="71" borderId="42" xfId="0" applyFont="1" applyFill="1" applyBorder="1" applyAlignment="1">
      <alignment vertical="center" wrapText="1"/>
    </xf>
    <xf numFmtId="0" fontId="101" fillId="71" borderId="15" xfId="0" applyFont="1" applyFill="1" applyBorder="1" applyAlignment="1">
      <alignment horizontal="left" vertical="center"/>
    </xf>
    <xf numFmtId="0" fontId="63" fillId="71" borderId="108" xfId="0" applyFont="1" applyFill="1" applyBorder="1" applyAlignment="1">
      <alignment vertical="center"/>
    </xf>
    <xf numFmtId="0" fontId="0" fillId="71" borderId="96" xfId="0" applyFont="1" applyFill="1" applyBorder="1" applyAlignment="1">
      <alignment horizontal="left" vertical="center"/>
    </xf>
    <xf numFmtId="0" fontId="0" fillId="71" borderId="96" xfId="0" applyFont="1" applyFill="1" applyBorder="1" applyAlignment="1">
      <alignment vertical="center"/>
    </xf>
    <xf numFmtId="0" fontId="0" fillId="71" borderId="15" xfId="0" applyFont="1" applyFill="1" applyBorder="1" applyAlignment="1">
      <alignment vertical="center"/>
    </xf>
    <xf numFmtId="0" fontId="0" fillId="71" borderId="96" xfId="0" applyFont="1" applyFill="1" applyBorder="1" applyAlignment="1"/>
    <xf numFmtId="2" fontId="0" fillId="71" borderId="15" xfId="0" applyNumberFormat="1" applyFont="1" applyFill="1" applyBorder="1" applyAlignment="1">
      <alignment horizontal="left"/>
    </xf>
    <xf numFmtId="2" fontId="0" fillId="71" borderId="96" xfId="0" applyNumberFormat="1" applyFont="1" applyFill="1" applyBorder="1" applyAlignment="1">
      <alignment horizontal="left"/>
    </xf>
    <xf numFmtId="165" fontId="0" fillId="71" borderId="96" xfId="0" applyNumberFormat="1" applyFont="1" applyFill="1" applyBorder="1" applyAlignment="1">
      <alignment horizontal="left"/>
    </xf>
    <xf numFmtId="0" fontId="0" fillId="71" borderId="96" xfId="0" applyFont="1" applyFill="1" applyBorder="1" applyAlignment="1">
      <alignment horizontal="left"/>
    </xf>
    <xf numFmtId="0" fontId="0" fillId="71" borderId="13" xfId="0" applyFont="1" applyFill="1" applyBorder="1" applyAlignment="1">
      <alignment horizontal="left"/>
    </xf>
    <xf numFmtId="0" fontId="0" fillId="71" borderId="109" xfId="0" applyFont="1" applyFill="1" applyBorder="1" applyAlignment="1"/>
    <xf numFmtId="0" fontId="0" fillId="71" borderId="8" xfId="0" applyFont="1" applyFill="1" applyBorder="1" applyAlignment="1">
      <alignment horizontal="left"/>
    </xf>
    <xf numFmtId="0" fontId="0" fillId="71" borderId="15" xfId="0" applyFont="1" applyFill="1" applyBorder="1" applyAlignment="1"/>
    <xf numFmtId="169" fontId="0" fillId="71" borderId="96" xfId="0" applyNumberFormat="1" applyFont="1" applyFill="1" applyBorder="1" applyAlignment="1">
      <alignment horizontal="left"/>
    </xf>
    <xf numFmtId="0" fontId="0" fillId="71" borderId="21" xfId="0" applyFont="1" applyFill="1" applyBorder="1" applyAlignment="1"/>
    <xf numFmtId="0" fontId="0" fillId="71" borderId="14" xfId="0" applyFont="1" applyFill="1" applyBorder="1" applyAlignment="1"/>
    <xf numFmtId="0" fontId="0" fillId="0" borderId="9" xfId="0" applyFont="1" applyBorder="1" applyAlignment="1">
      <alignment vertical="center"/>
    </xf>
    <xf numFmtId="0" fontId="0" fillId="0" borderId="3" xfId="0" applyFont="1" applyBorder="1" applyAlignment="1">
      <alignment horizontal="left" vertical="center"/>
    </xf>
    <xf numFmtId="0" fontId="0" fillId="5" borderId="9" xfId="0" applyFont="1" applyFill="1" applyBorder="1" applyAlignment="1">
      <alignment vertical="center"/>
    </xf>
    <xf numFmtId="166" fontId="0" fillId="0" borderId="3" xfId="1" applyNumberFormat="1" applyFont="1" applyBorder="1" applyAlignment="1">
      <alignment horizontal="left" vertical="center"/>
    </xf>
    <xf numFmtId="166" fontId="0" fillId="0" borderId="9" xfId="1" applyNumberFormat="1" applyFont="1" applyBorder="1" applyAlignment="1">
      <alignment horizontal="left" vertical="center"/>
    </xf>
    <xf numFmtId="2" fontId="0" fillId="0" borderId="83" xfId="0" applyNumberFormat="1" applyFont="1" applyBorder="1" applyAlignment="1">
      <alignment horizontal="left"/>
    </xf>
    <xf numFmtId="2" fontId="0" fillId="0" borderId="3" xfId="0" applyNumberFormat="1" applyFont="1" applyBorder="1" applyAlignment="1">
      <alignment horizontal="left"/>
    </xf>
    <xf numFmtId="165" fontId="0" fillId="5" borderId="3" xfId="0" applyNumberFormat="1" applyFont="1" applyFill="1" applyBorder="1" applyAlignment="1">
      <alignment horizontal="left" vertical="center"/>
    </xf>
    <xf numFmtId="165" fontId="0" fillId="0" borderId="3" xfId="0" applyNumberFormat="1" applyFont="1" applyBorder="1" applyAlignment="1">
      <alignment horizontal="left"/>
    </xf>
    <xf numFmtId="0" fontId="2" fillId="5" borderId="3" xfId="0" applyFont="1" applyFill="1" applyBorder="1" applyAlignment="1">
      <alignment horizontal="left" vertical="center"/>
    </xf>
    <xf numFmtId="0" fontId="2" fillId="5" borderId="9" xfId="0" applyFont="1" applyFill="1" applyBorder="1" applyAlignment="1">
      <alignment horizontal="left" vertical="center"/>
    </xf>
    <xf numFmtId="0" fontId="2" fillId="71" borderId="13" xfId="0" applyFont="1" applyFill="1" applyBorder="1" applyAlignment="1">
      <alignment horizontal="left" vertical="center"/>
    </xf>
    <xf numFmtId="0" fontId="0" fillId="0" borderId="3" xfId="0" applyFont="1" applyBorder="1" applyAlignment="1">
      <alignment horizontal="left"/>
    </xf>
    <xf numFmtId="169" fontId="0" fillId="0" borderId="48" xfId="0" applyNumberFormat="1" applyFont="1" applyBorder="1" applyAlignment="1">
      <alignment vertical="center"/>
    </xf>
    <xf numFmtId="169" fontId="0" fillId="71" borderId="8" xfId="0" applyNumberFormat="1" applyFont="1" applyFill="1" applyBorder="1" applyAlignment="1">
      <alignment horizontal="left" vertical="center"/>
    </xf>
    <xf numFmtId="0" fontId="0" fillId="5" borderId="0" xfId="0" applyFill="1" applyBorder="1"/>
    <xf numFmtId="0" fontId="0" fillId="5" borderId="63" xfId="0" applyFont="1" applyFill="1" applyBorder="1"/>
    <xf numFmtId="0" fontId="0" fillId="5" borderId="0" xfId="0" applyFont="1" applyFill="1" applyBorder="1"/>
    <xf numFmtId="169" fontId="0" fillId="5" borderId="0" xfId="0" applyNumberFormat="1" applyFont="1" applyFill="1" applyBorder="1" applyAlignment="1">
      <alignment horizontal="left"/>
    </xf>
    <xf numFmtId="0" fontId="0" fillId="0" borderId="37" xfId="0" applyFont="1" applyBorder="1" applyAlignment="1">
      <alignment vertical="center"/>
    </xf>
    <xf numFmtId="0" fontId="0" fillId="5" borderId="37" xfId="0" applyFont="1" applyFill="1" applyBorder="1" applyAlignment="1">
      <alignment vertical="center"/>
    </xf>
    <xf numFmtId="166" fontId="0" fillId="0" borderId="1" xfId="1" applyNumberFormat="1" applyFont="1" applyBorder="1" applyAlignment="1">
      <alignment horizontal="left" vertical="center"/>
    </xf>
    <xf numFmtId="166" fontId="0" fillId="0" borderId="37" xfId="1" applyNumberFormat="1" applyFont="1" applyBorder="1" applyAlignment="1">
      <alignment horizontal="left" vertical="center"/>
    </xf>
    <xf numFmtId="2" fontId="0" fillId="0" borderId="23" xfId="0" applyNumberFormat="1" applyFont="1" applyBorder="1" applyAlignment="1">
      <alignment horizontal="left"/>
    </xf>
    <xf numFmtId="2" fontId="0" fillId="0" borderId="33" xfId="0" quotePrefix="1" applyNumberFormat="1" applyFont="1" applyBorder="1" applyAlignment="1">
      <alignment horizontal="left"/>
    </xf>
    <xf numFmtId="2" fontId="0" fillId="0" borderId="1" xfId="0" quotePrefix="1" applyNumberFormat="1" applyFont="1" applyBorder="1" applyAlignment="1">
      <alignment horizontal="left"/>
    </xf>
    <xf numFmtId="165" fontId="0" fillId="5" borderId="1" xfId="0" applyNumberFormat="1" applyFont="1" applyFill="1" applyBorder="1" applyAlignment="1">
      <alignment horizontal="left" vertical="center"/>
    </xf>
    <xf numFmtId="165" fontId="0" fillId="0" borderId="1" xfId="0" applyNumberFormat="1" applyFont="1" applyBorder="1" applyAlignment="1">
      <alignment horizontal="left"/>
    </xf>
    <xf numFmtId="0" fontId="0" fillId="0" borderId="1" xfId="0" applyFont="1" applyBorder="1" applyAlignment="1">
      <alignment horizontal="left"/>
    </xf>
    <xf numFmtId="0" fontId="0" fillId="0" borderId="37" xfId="0" applyFont="1" applyBorder="1" applyAlignment="1">
      <alignment horizontal="left"/>
    </xf>
    <xf numFmtId="169" fontId="0" fillId="0" borderId="1" xfId="0" applyNumberFormat="1" applyFont="1" applyBorder="1" applyAlignment="1">
      <alignment vertical="center"/>
    </xf>
    <xf numFmtId="0" fontId="0" fillId="6" borderId="1" xfId="0" applyFont="1" applyFill="1" applyBorder="1" applyAlignment="1"/>
    <xf numFmtId="165" fontId="0" fillId="6" borderId="37" xfId="0" applyNumberFormat="1" applyFont="1" applyFill="1" applyBorder="1" applyAlignment="1"/>
    <xf numFmtId="0" fontId="0" fillId="0" borderId="111" xfId="0" applyFont="1" applyBorder="1" applyAlignment="1">
      <alignment vertical="center"/>
    </xf>
    <xf numFmtId="0" fontId="0" fillId="0" borderId="36" xfId="0" applyFont="1" applyBorder="1" applyAlignment="1">
      <alignment horizontal="left" vertical="center"/>
    </xf>
    <xf numFmtId="0" fontId="0" fillId="0" borderId="34" xfId="0" applyFont="1" applyBorder="1" applyAlignment="1">
      <alignment horizontal="left" vertical="center"/>
    </xf>
    <xf numFmtId="0" fontId="0" fillId="0" borderId="23" xfId="0" applyFont="1" applyBorder="1" applyAlignment="1">
      <alignment vertical="center"/>
    </xf>
    <xf numFmtId="49" fontId="0" fillId="0" borderId="37" xfId="0" applyNumberFormat="1" applyFont="1" applyBorder="1" applyAlignment="1">
      <alignment vertical="center"/>
    </xf>
    <xf numFmtId="2" fontId="0" fillId="0" borderId="1" xfId="0" applyNumberFormat="1" applyFont="1" applyBorder="1" applyAlignment="1">
      <alignment horizontal="left"/>
    </xf>
    <xf numFmtId="0" fontId="2" fillId="5" borderId="1" xfId="0" applyFont="1" applyFill="1" applyBorder="1" applyAlignment="1">
      <alignment horizontal="left" vertical="center"/>
    </xf>
    <xf numFmtId="0" fontId="2" fillId="5" borderId="37" xfId="0" applyFont="1" applyFill="1" applyBorder="1" applyAlignment="1">
      <alignment horizontal="left" vertical="center"/>
    </xf>
    <xf numFmtId="0" fontId="0" fillId="0" borderId="37" xfId="0" applyFont="1" applyBorder="1" applyAlignment="1">
      <alignment horizontal="left" vertical="center"/>
    </xf>
    <xf numFmtId="0" fontId="0" fillId="5" borderId="1" xfId="0" applyFont="1" applyFill="1" applyBorder="1" applyAlignment="1">
      <alignment horizontal="left" vertical="center"/>
    </xf>
    <xf numFmtId="0" fontId="0" fillId="5" borderId="34" xfId="0" applyFont="1" applyFill="1" applyBorder="1" applyAlignment="1">
      <alignment horizontal="left" vertical="center"/>
    </xf>
    <xf numFmtId="172" fontId="0" fillId="0" borderId="37" xfId="2106" applyNumberFormat="1" applyFont="1" applyBorder="1" applyAlignment="1">
      <alignment horizontal="left"/>
    </xf>
    <xf numFmtId="172" fontId="0" fillId="71" borderId="13" xfId="2106" applyNumberFormat="1" applyFont="1" applyFill="1" applyBorder="1" applyAlignment="1">
      <alignment horizontal="left"/>
    </xf>
    <xf numFmtId="37" fontId="0" fillId="0" borderId="0" xfId="3" applyNumberFormat="1" applyFont="1" applyBorder="1" applyAlignment="1">
      <alignment horizontal="left"/>
    </xf>
    <xf numFmtId="37" fontId="0" fillId="71" borderId="13" xfId="3" applyNumberFormat="1" applyFont="1" applyFill="1" applyBorder="1" applyAlignment="1">
      <alignment horizontal="left"/>
    </xf>
    <xf numFmtId="0" fontId="0" fillId="0" borderId="1" xfId="0" applyBorder="1" applyAlignment="1">
      <alignment horizontal="left"/>
    </xf>
    <xf numFmtId="165" fontId="0" fillId="0" borderId="1" xfId="0" applyNumberFormat="1" applyFont="1" applyBorder="1" applyAlignment="1">
      <alignment horizontal="left" vertical="top"/>
    </xf>
    <xf numFmtId="0" fontId="0" fillId="0" borderId="33" xfId="0" applyFont="1" applyBorder="1" applyAlignment="1">
      <alignment horizontal="left"/>
    </xf>
    <xf numFmtId="0" fontId="0" fillId="0" borderId="35" xfId="0" applyFont="1" applyBorder="1" applyAlignment="1">
      <alignment horizontal="left"/>
    </xf>
    <xf numFmtId="0" fontId="2" fillId="5" borderId="34" xfId="0" applyFont="1" applyFill="1" applyBorder="1" applyAlignment="1">
      <alignment horizontal="left" vertical="center"/>
    </xf>
    <xf numFmtId="0" fontId="16" fillId="0" borderId="112" xfId="0" applyNumberFormat="1" applyFont="1" applyFill="1" applyBorder="1" applyAlignment="1" applyProtection="1">
      <alignment horizontal="left" wrapText="1"/>
    </xf>
    <xf numFmtId="9" fontId="16" fillId="10" borderId="34" xfId="2106" applyFont="1" applyFill="1" applyBorder="1" applyAlignment="1" applyProtection="1">
      <alignment horizontal="left" wrapText="1"/>
    </xf>
    <xf numFmtId="0" fontId="0" fillId="5" borderId="13" xfId="0" applyFont="1" applyFill="1" applyBorder="1" applyAlignment="1">
      <alignment horizontal="left"/>
    </xf>
    <xf numFmtId="0" fontId="0" fillId="5" borderId="0" xfId="0" applyFont="1" applyFill="1" applyBorder="1" applyAlignment="1">
      <alignment horizontal="left"/>
    </xf>
    <xf numFmtId="0" fontId="0" fillId="5" borderId="35" xfId="0" applyFont="1" applyFill="1" applyBorder="1"/>
    <xf numFmtId="0" fontId="0" fillId="5" borderId="80" xfId="0" applyFont="1" applyFill="1" applyBorder="1"/>
    <xf numFmtId="0" fontId="0" fillId="5" borderId="13" xfId="0" applyFont="1" applyFill="1" applyBorder="1"/>
    <xf numFmtId="165" fontId="0" fillId="0" borderId="37" xfId="0" applyNumberFormat="1" applyFont="1" applyBorder="1" applyAlignment="1">
      <alignment horizontal="left"/>
    </xf>
    <xf numFmtId="0" fontId="0" fillId="5" borderId="35" xfId="0" applyFont="1" applyFill="1" applyBorder="1" applyAlignment="1"/>
    <xf numFmtId="0" fontId="0" fillId="5" borderId="80" xfId="0" applyFont="1" applyFill="1" applyBorder="1" applyAlignment="1"/>
    <xf numFmtId="0" fontId="0" fillId="5" borderId="80" xfId="0" applyFont="1" applyFill="1" applyBorder="1" applyAlignment="1">
      <alignment horizontal="left"/>
    </xf>
    <xf numFmtId="0" fontId="0" fillId="5" borderId="23" xfId="0" applyFont="1" applyFill="1" applyBorder="1" applyAlignment="1">
      <alignment vertical="center"/>
    </xf>
    <xf numFmtId="0" fontId="0" fillId="5" borderId="13" xfId="0" applyFont="1" applyFill="1" applyBorder="1" applyAlignment="1"/>
    <xf numFmtId="0" fontId="0" fillId="5" borderId="0" xfId="0" applyFont="1" applyFill="1" applyBorder="1" applyAlignment="1"/>
    <xf numFmtId="0" fontId="0" fillId="5" borderId="1" xfId="0" applyFont="1" applyFill="1" applyBorder="1" applyAlignment="1">
      <alignment vertical="center"/>
    </xf>
    <xf numFmtId="0" fontId="64" fillId="0" borderId="37" xfId="0" applyFont="1" applyBorder="1" applyAlignment="1">
      <alignment vertical="center"/>
    </xf>
    <xf numFmtId="2" fontId="0" fillId="5" borderId="23" xfId="0" applyNumberFormat="1" applyFont="1" applyFill="1" applyBorder="1" applyAlignment="1">
      <alignment horizontal="left" vertical="center"/>
    </xf>
    <xf numFmtId="2" fontId="0" fillId="5" borderId="1" xfId="0" applyNumberFormat="1" applyFont="1" applyFill="1" applyBorder="1" applyAlignment="1">
      <alignment horizontal="left" vertical="center"/>
    </xf>
    <xf numFmtId="165" fontId="0" fillId="5" borderId="37" xfId="0" applyNumberFormat="1" applyFont="1" applyFill="1" applyBorder="1" applyAlignment="1">
      <alignment horizontal="left" vertical="center"/>
    </xf>
    <xf numFmtId="0" fontId="0" fillId="5" borderId="33" xfId="0" applyFont="1" applyFill="1" applyBorder="1" applyAlignment="1">
      <alignment vertical="center"/>
    </xf>
    <xf numFmtId="0" fontId="0" fillId="5" borderId="35" xfId="0" applyFont="1" applyFill="1" applyBorder="1" applyAlignment="1">
      <alignment vertical="center"/>
    </xf>
    <xf numFmtId="0" fontId="64" fillId="0" borderId="35" xfId="0" applyFont="1" applyBorder="1" applyAlignment="1">
      <alignment vertical="center"/>
    </xf>
    <xf numFmtId="2" fontId="0" fillId="5" borderId="81" xfId="0" applyNumberFormat="1" applyFont="1" applyFill="1" applyBorder="1" applyAlignment="1">
      <alignment horizontal="left" vertical="center"/>
    </xf>
    <xf numFmtId="2" fontId="0" fillId="5" borderId="33" xfId="0" applyNumberFormat="1" applyFont="1" applyFill="1" applyBorder="1" applyAlignment="1">
      <alignment horizontal="left" vertical="center"/>
    </xf>
    <xf numFmtId="165" fontId="0" fillId="5" borderId="33" xfId="0" applyNumberFormat="1" applyFont="1" applyFill="1" applyBorder="1" applyAlignment="1">
      <alignment horizontal="left" vertical="center"/>
    </xf>
    <xf numFmtId="165" fontId="0" fillId="5" borderId="35" xfId="0" applyNumberFormat="1" applyFont="1" applyFill="1" applyBorder="1" applyAlignment="1">
      <alignment horizontal="left" vertical="center"/>
    </xf>
    <xf numFmtId="0" fontId="0" fillId="5" borderId="114" xfId="0" applyFont="1" applyFill="1" applyBorder="1"/>
    <xf numFmtId="0" fontId="0" fillId="5" borderId="107" xfId="0" applyFont="1" applyFill="1" applyBorder="1"/>
    <xf numFmtId="0" fontId="100" fillId="71" borderId="15" xfId="0" applyFont="1" applyFill="1" applyBorder="1" applyAlignment="1">
      <alignment horizontal="left" vertical="center"/>
    </xf>
    <xf numFmtId="0" fontId="0" fillId="71" borderId="108" xfId="0" applyFont="1" applyFill="1" applyBorder="1" applyAlignment="1">
      <alignment vertical="center"/>
    </xf>
    <xf numFmtId="0" fontId="0" fillId="71" borderId="0" xfId="0" applyFont="1" applyFill="1" applyBorder="1" applyAlignment="1"/>
    <xf numFmtId="0" fontId="0" fillId="71" borderId="19" xfId="0" applyFont="1" applyFill="1" applyBorder="1" applyAlignment="1"/>
    <xf numFmtId="0" fontId="0" fillId="0" borderId="110" xfId="0" applyFont="1" applyBorder="1" applyAlignment="1"/>
    <xf numFmtId="0" fontId="0" fillId="0" borderId="11" xfId="0" applyFont="1" applyBorder="1" applyAlignment="1">
      <alignment horizontal="left"/>
    </xf>
    <xf numFmtId="0" fontId="16" fillId="10" borderId="3" xfId="0" applyNumberFormat="1" applyFont="1" applyFill="1" applyBorder="1" applyAlignment="1" applyProtection="1">
      <alignment horizontal="left" wrapText="1"/>
    </xf>
    <xf numFmtId="3" fontId="0" fillId="10" borderId="3" xfId="0" applyNumberFormat="1" applyFont="1" applyFill="1" applyBorder="1" applyAlignment="1" applyProtection="1">
      <alignment horizontal="left"/>
    </xf>
    <xf numFmtId="165" fontId="16" fillId="0" borderId="3" xfId="0" applyNumberFormat="1" applyFont="1" applyFill="1" applyBorder="1" applyAlignment="1" applyProtection="1">
      <alignment horizontal="left" wrapText="1"/>
    </xf>
    <xf numFmtId="8" fontId="16" fillId="10" borderId="115" xfId="0" applyNumberFormat="1" applyFont="1" applyFill="1" applyBorder="1" applyAlignment="1" applyProtection="1">
      <alignment horizontal="left" wrapText="1"/>
    </xf>
    <xf numFmtId="8" fontId="16" fillId="10" borderId="116" xfId="0" applyNumberFormat="1" applyFont="1" applyFill="1" applyBorder="1" applyAlignment="1" applyProtection="1">
      <alignment horizontal="left" wrapText="1"/>
    </xf>
    <xf numFmtId="0" fontId="0" fillId="5" borderId="83" xfId="0" applyFont="1" applyFill="1" applyBorder="1" applyAlignment="1">
      <alignment horizontal="left"/>
    </xf>
    <xf numFmtId="0" fontId="0" fillId="5" borderId="9" xfId="0" applyFont="1" applyFill="1" applyBorder="1" applyAlignment="1">
      <alignment horizontal="left"/>
    </xf>
    <xf numFmtId="0" fontId="0" fillId="0" borderId="83" xfId="0" applyFont="1" applyBorder="1" applyAlignment="1"/>
    <xf numFmtId="0" fontId="0" fillId="0" borderId="9" xfId="0" applyFont="1" applyBorder="1" applyAlignment="1"/>
    <xf numFmtId="2" fontId="16" fillId="10" borderId="83" xfId="0" applyNumberFormat="1" applyFont="1" applyFill="1" applyBorder="1" applyAlignment="1" applyProtection="1">
      <alignment horizontal="left" wrapText="1"/>
    </xf>
    <xf numFmtId="2" fontId="16" fillId="10" borderId="3" xfId="0" applyNumberFormat="1" applyFont="1" applyFill="1" applyBorder="1" applyAlignment="1" applyProtection="1">
      <alignment horizontal="left" wrapText="1"/>
    </xf>
    <xf numFmtId="165" fontId="0" fillId="5" borderId="3" xfId="0" applyNumberFormat="1" applyFont="1" applyFill="1" applyBorder="1" applyAlignment="1">
      <alignment horizontal="left"/>
    </xf>
    <xf numFmtId="0" fontId="2" fillId="5" borderId="11"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71" borderId="13" xfId="0" applyFont="1" applyFill="1" applyBorder="1" applyAlignment="1">
      <alignment horizontal="left" vertical="center" wrapText="1"/>
    </xf>
    <xf numFmtId="3" fontId="0" fillId="0" borderId="72" xfId="0" applyNumberFormat="1" applyFill="1" applyBorder="1" applyAlignment="1" applyProtection="1"/>
    <xf numFmtId="0" fontId="0" fillId="0" borderId="72" xfId="0" applyFill="1" applyBorder="1" applyAlignment="1"/>
    <xf numFmtId="166" fontId="0" fillId="0" borderId="1" xfId="0" applyNumberFormat="1" applyFont="1" applyBorder="1" applyAlignment="1">
      <alignment horizontal="left"/>
    </xf>
    <xf numFmtId="0" fontId="0" fillId="0" borderId="1" xfId="0" applyFont="1" applyFill="1" applyBorder="1" applyAlignment="1">
      <alignment horizontal="left"/>
    </xf>
    <xf numFmtId="0" fontId="0" fillId="0" borderId="13" xfId="0" applyFont="1" applyBorder="1" applyAlignment="1">
      <alignment horizontal="left"/>
    </xf>
    <xf numFmtId="0" fontId="0" fillId="0" borderId="111" xfId="0" applyFont="1" applyBorder="1" applyAlignment="1"/>
    <xf numFmtId="0" fontId="0" fillId="0" borderId="36" xfId="0" applyFont="1" applyBorder="1" applyAlignment="1">
      <alignment horizontal="left"/>
    </xf>
    <xf numFmtId="0" fontId="16" fillId="10" borderId="1" xfId="0" applyNumberFormat="1" applyFont="1" applyFill="1" applyBorder="1" applyAlignment="1" applyProtection="1">
      <alignment horizontal="left" wrapText="1"/>
    </xf>
    <xf numFmtId="3" fontId="0" fillId="10" borderId="1" xfId="0" applyNumberFormat="1" applyFont="1" applyFill="1" applyBorder="1" applyAlignment="1" applyProtection="1">
      <alignment horizontal="left"/>
    </xf>
    <xf numFmtId="165" fontId="16" fillId="0" borderId="1" xfId="0" applyNumberFormat="1" applyFont="1" applyFill="1" applyBorder="1" applyAlignment="1" applyProtection="1">
      <alignment horizontal="left" wrapText="1"/>
    </xf>
    <xf numFmtId="0" fontId="0" fillId="5" borderId="23" xfId="0" applyFont="1" applyFill="1" applyBorder="1" applyAlignment="1">
      <alignment horizontal="left"/>
    </xf>
    <xf numFmtId="0" fontId="0" fillId="5" borderId="37" xfId="0" applyFont="1" applyFill="1" applyBorder="1" applyAlignment="1">
      <alignment horizontal="left"/>
    </xf>
    <xf numFmtId="0" fontId="0" fillId="0" borderId="23" xfId="0" applyFont="1" applyBorder="1" applyAlignment="1"/>
    <xf numFmtId="0" fontId="0" fillId="0" borderId="37" xfId="0" applyFont="1" applyBorder="1" applyAlignment="1"/>
    <xf numFmtId="2" fontId="16" fillId="10" borderId="23" xfId="0" applyNumberFormat="1" applyFont="1" applyFill="1" applyBorder="1" applyAlignment="1" applyProtection="1">
      <alignment horizontal="left" wrapText="1"/>
    </xf>
    <xf numFmtId="2" fontId="16" fillId="10" borderId="1" xfId="0" applyNumberFormat="1" applyFont="1" applyFill="1" applyBorder="1" applyAlignment="1" applyProtection="1">
      <alignment horizontal="left" wrapText="1"/>
    </xf>
    <xf numFmtId="165" fontId="0" fillId="5" borderId="1" xfId="0" applyNumberFormat="1" applyFont="1" applyFill="1" applyBorder="1" applyAlignment="1">
      <alignment horizontal="left"/>
    </xf>
    <xf numFmtId="0" fontId="0" fillId="0" borderId="36" xfId="0" applyFont="1" applyBorder="1" applyAlignment="1">
      <alignment horizontal="left" vertical="center" wrapText="1"/>
    </xf>
    <xf numFmtId="3" fontId="0" fillId="0" borderId="1" xfId="0" applyNumberFormat="1" applyFill="1" applyBorder="1" applyAlignment="1" applyProtection="1"/>
    <xf numFmtId="0" fontId="0" fillId="0" borderId="1" xfId="0" applyFill="1" applyBorder="1" applyAlignment="1"/>
    <xf numFmtId="166" fontId="0" fillId="0" borderId="37" xfId="1" applyNumberFormat="1" applyFont="1" applyBorder="1" applyAlignment="1">
      <alignment horizontal="left"/>
    </xf>
    <xf numFmtId="166" fontId="0" fillId="71" borderId="8" xfId="1" applyNumberFormat="1" applyFont="1" applyFill="1" applyBorder="1" applyAlignment="1">
      <alignment horizontal="left"/>
    </xf>
    <xf numFmtId="0" fontId="0" fillId="0" borderId="1" xfId="0" applyFont="1" applyFill="1" applyBorder="1" applyAlignment="1"/>
    <xf numFmtId="165" fontId="0" fillId="0" borderId="37" xfId="0" applyNumberFormat="1" applyFont="1" applyFill="1" applyBorder="1" applyAlignment="1"/>
    <xf numFmtId="0" fontId="0" fillId="5" borderId="1" xfId="0" applyFont="1" applyFill="1" applyBorder="1" applyAlignment="1">
      <alignment horizontal="left"/>
    </xf>
    <xf numFmtId="165" fontId="0" fillId="0" borderId="36" xfId="0" applyNumberFormat="1" applyFont="1" applyBorder="1" applyAlignment="1">
      <alignment horizontal="left"/>
    </xf>
    <xf numFmtId="0" fontId="2" fillId="5" borderId="36" xfId="0" applyFont="1" applyFill="1" applyBorder="1" applyAlignment="1">
      <alignment horizontal="left" vertical="center" wrapText="1"/>
    </xf>
    <xf numFmtId="0" fontId="0" fillId="5" borderId="0" xfId="0" applyFill="1" applyBorder="1" applyAlignment="1"/>
    <xf numFmtId="3" fontId="0" fillId="0" borderId="1" xfId="0" applyNumberFormat="1" applyFont="1" applyBorder="1" applyAlignment="1">
      <alignment horizontal="left"/>
    </xf>
    <xf numFmtId="0" fontId="0" fillId="72" borderId="34" xfId="0" applyFont="1" applyFill="1" applyBorder="1" applyAlignment="1">
      <alignment horizontal="left" vertical="center"/>
    </xf>
    <xf numFmtId="0" fontId="0" fillId="71" borderId="13" xfId="0" applyFont="1" applyFill="1" applyBorder="1" applyAlignment="1">
      <alignment horizontal="left" vertical="center"/>
    </xf>
    <xf numFmtId="0" fontId="2" fillId="5" borderId="34" xfId="0" applyFont="1" applyFill="1" applyBorder="1" applyAlignment="1">
      <alignment horizontal="left" vertical="center" wrapText="1"/>
    </xf>
    <xf numFmtId="2" fontId="16" fillId="10" borderId="117" xfId="0" applyNumberFormat="1" applyFont="1" applyFill="1" applyBorder="1" applyAlignment="1" applyProtection="1">
      <alignment horizontal="left" vertical="top" wrapText="1"/>
    </xf>
    <xf numFmtId="2" fontId="16" fillId="10" borderId="115" xfId="0" applyNumberFormat="1" applyFont="1" applyFill="1" applyBorder="1" applyAlignment="1" applyProtection="1">
      <alignment horizontal="left" wrapText="1"/>
    </xf>
    <xf numFmtId="0" fontId="16" fillId="10" borderId="36" xfId="0" applyNumberFormat="1" applyFont="1" applyFill="1" applyBorder="1" applyAlignment="1" applyProtection="1">
      <alignment horizontal="left" wrapText="1"/>
    </xf>
    <xf numFmtId="37" fontId="16" fillId="10" borderId="37" xfId="3" applyNumberFormat="1" applyFont="1" applyFill="1" applyBorder="1" applyAlignment="1" applyProtection="1">
      <alignment horizontal="left" wrapText="1"/>
    </xf>
    <xf numFmtId="37" fontId="16" fillId="71" borderId="13" xfId="3" applyNumberFormat="1" applyFont="1" applyFill="1" applyBorder="1" applyAlignment="1" applyProtection="1">
      <alignment horizontal="left" wrapText="1"/>
    </xf>
    <xf numFmtId="165" fontId="16" fillId="10" borderId="115" xfId="0" applyNumberFormat="1" applyFont="1" applyFill="1" applyBorder="1" applyAlignment="1" applyProtection="1">
      <alignment horizontal="left" wrapText="1"/>
    </xf>
    <xf numFmtId="165" fontId="16" fillId="10" borderId="116" xfId="0" applyNumberFormat="1" applyFont="1" applyFill="1" applyBorder="1" applyAlignment="1" applyProtection="1">
      <alignment horizontal="left" wrapText="1"/>
    </xf>
    <xf numFmtId="165" fontId="16" fillId="71" borderId="13" xfId="0" applyNumberFormat="1" applyFont="1" applyFill="1" applyBorder="1" applyAlignment="1" applyProtection="1">
      <alignment horizontal="left" wrapText="1"/>
    </xf>
    <xf numFmtId="0" fontId="2" fillId="5" borderId="36" xfId="0" applyFont="1" applyFill="1" applyBorder="1" applyAlignment="1">
      <alignment horizontal="left" vertical="center"/>
    </xf>
    <xf numFmtId="0" fontId="16" fillId="10" borderId="112" xfId="0" applyNumberFormat="1" applyFont="1" applyFill="1" applyBorder="1" applyAlignment="1" applyProtection="1">
      <alignment horizontal="left" wrapText="1"/>
    </xf>
    <xf numFmtId="9" fontId="16" fillId="71" borderId="13" xfId="2106" applyFont="1" applyFill="1" applyBorder="1" applyAlignment="1" applyProtection="1">
      <alignment horizontal="left" wrapText="1"/>
    </xf>
    <xf numFmtId="165" fontId="0" fillId="5" borderId="13" xfId="0" applyNumberFormat="1" applyFont="1" applyFill="1" applyBorder="1" applyAlignment="1">
      <alignment horizontal="left"/>
    </xf>
    <xf numFmtId="165" fontId="0" fillId="5" borderId="0" xfId="0" applyNumberFormat="1" applyFont="1" applyFill="1" applyBorder="1" applyAlignment="1">
      <alignment horizontal="left"/>
    </xf>
    <xf numFmtId="165" fontId="0" fillId="71" borderId="13" xfId="0" applyNumberFormat="1" applyFont="1" applyFill="1" applyBorder="1" applyAlignment="1">
      <alignment horizontal="left"/>
    </xf>
    <xf numFmtId="0" fontId="0" fillId="10" borderId="1" xfId="0" applyNumberFormat="1" applyFont="1" applyFill="1" applyBorder="1" applyAlignment="1" applyProtection="1">
      <alignment horizontal="left"/>
    </xf>
    <xf numFmtId="0" fontId="16" fillId="10" borderId="76" xfId="0" applyNumberFormat="1" applyFont="1" applyFill="1" applyBorder="1" applyAlignment="1" applyProtection="1">
      <alignment horizontal="left" wrapText="1"/>
    </xf>
    <xf numFmtId="0" fontId="0" fillId="10" borderId="76" xfId="0" applyNumberFormat="1" applyFont="1" applyFill="1" applyBorder="1" applyAlignment="1" applyProtection="1">
      <alignment horizontal="left"/>
    </xf>
    <xf numFmtId="0" fontId="0" fillId="5" borderId="76" xfId="0" applyFont="1" applyFill="1" applyBorder="1" applyAlignment="1">
      <alignment horizontal="left"/>
    </xf>
    <xf numFmtId="0" fontId="0" fillId="5" borderId="75" xfId="0" applyFont="1" applyFill="1" applyBorder="1" applyAlignment="1">
      <alignment horizontal="left"/>
    </xf>
    <xf numFmtId="0" fontId="0" fillId="5" borderId="79" xfId="0" applyFont="1" applyFill="1" applyBorder="1" applyAlignment="1">
      <alignment horizontal="left"/>
    </xf>
    <xf numFmtId="2" fontId="16" fillId="10" borderId="75" xfId="0" applyNumberFormat="1" applyFont="1" applyFill="1" applyBorder="1" applyAlignment="1" applyProtection="1">
      <alignment horizontal="left" wrapText="1"/>
    </xf>
    <xf numFmtId="2" fontId="16" fillId="10" borderId="76" xfId="0" applyNumberFormat="1" applyFont="1" applyFill="1" applyBorder="1" applyAlignment="1" applyProtection="1">
      <alignment horizontal="left" wrapText="1"/>
    </xf>
    <xf numFmtId="165" fontId="0" fillId="0" borderId="76" xfId="0" applyNumberFormat="1" applyFont="1" applyBorder="1" applyAlignment="1">
      <alignment horizontal="left"/>
    </xf>
    <xf numFmtId="0" fontId="0" fillId="5" borderId="114" xfId="0" applyFont="1" applyFill="1" applyBorder="1" applyAlignment="1">
      <alignment horizontal="left"/>
    </xf>
    <xf numFmtId="0" fontId="0" fillId="71" borderId="104" xfId="0" applyFont="1" applyFill="1" applyBorder="1" applyAlignment="1">
      <alignment vertical="center"/>
    </xf>
    <xf numFmtId="0" fontId="0" fillId="71" borderId="58" xfId="0" applyFont="1" applyFill="1" applyBorder="1" applyAlignment="1">
      <alignment vertical="center"/>
    </xf>
    <xf numFmtId="0" fontId="0" fillId="71" borderId="18" xfId="0" applyFont="1" applyFill="1" applyBorder="1" applyAlignment="1">
      <alignment vertical="center"/>
    </xf>
    <xf numFmtId="0" fontId="0" fillId="71" borderId="18" xfId="0" applyFont="1" applyFill="1" applyBorder="1" applyAlignment="1"/>
    <xf numFmtId="2" fontId="0" fillId="71" borderId="63" xfId="0" applyNumberFormat="1" applyFont="1" applyFill="1" applyBorder="1" applyAlignment="1">
      <alignment horizontal="left"/>
    </xf>
    <xf numFmtId="2" fontId="0" fillId="71" borderId="0" xfId="0" applyNumberFormat="1" applyFont="1" applyFill="1" applyBorder="1" applyAlignment="1">
      <alignment horizontal="left"/>
    </xf>
    <xf numFmtId="165" fontId="0" fillId="71" borderId="0" xfId="0" applyNumberFormat="1" applyFont="1" applyFill="1" applyBorder="1" applyAlignment="1">
      <alignment horizontal="left"/>
    </xf>
    <xf numFmtId="0" fontId="0" fillId="71" borderId="44" xfId="0" applyFont="1" applyFill="1" applyBorder="1" applyAlignment="1"/>
    <xf numFmtId="0" fontId="0" fillId="71" borderId="18" xfId="0" applyFont="1" applyFill="1" applyBorder="1" applyAlignment="1">
      <alignment horizontal="left"/>
    </xf>
    <xf numFmtId="0" fontId="0" fillId="71" borderId="0" xfId="0" applyFont="1" applyFill="1" applyAlignment="1"/>
    <xf numFmtId="0" fontId="0" fillId="0" borderId="120" xfId="0" applyFont="1" applyBorder="1" applyAlignment="1"/>
    <xf numFmtId="37" fontId="102" fillId="10" borderId="3" xfId="3" applyNumberFormat="1" applyFont="1" applyFill="1" applyBorder="1" applyAlignment="1" applyProtection="1">
      <alignment horizontal="left"/>
    </xf>
    <xf numFmtId="0" fontId="0" fillId="5" borderId="71" xfId="0" applyFont="1" applyFill="1" applyBorder="1" applyAlignment="1">
      <alignment horizontal="left"/>
    </xf>
    <xf numFmtId="0" fontId="0" fillId="5" borderId="78" xfId="0" applyFont="1" applyFill="1" applyBorder="1" applyAlignment="1">
      <alignment horizontal="left"/>
    </xf>
    <xf numFmtId="0" fontId="0" fillId="0" borderId="71" xfId="0" applyFont="1" applyBorder="1" applyAlignment="1"/>
    <xf numFmtId="0" fontId="0" fillId="0" borderId="78" xfId="0" applyFont="1" applyBorder="1" applyAlignment="1"/>
    <xf numFmtId="2" fontId="16" fillId="10" borderId="71" xfId="0" applyNumberFormat="1" applyFont="1" applyFill="1" applyBorder="1" applyAlignment="1" applyProtection="1">
      <alignment horizontal="left" wrapText="1"/>
    </xf>
    <xf numFmtId="2" fontId="16" fillId="10" borderId="72" xfId="0" applyNumberFormat="1" applyFont="1" applyFill="1" applyBorder="1" applyAlignment="1" applyProtection="1">
      <alignment horizontal="left" wrapText="1"/>
    </xf>
    <xf numFmtId="165" fontId="0" fillId="5" borderId="72" xfId="0" applyNumberFormat="1" applyFont="1" applyFill="1" applyBorder="1" applyAlignment="1">
      <alignment horizontal="left"/>
    </xf>
    <xf numFmtId="165" fontId="0" fillId="0" borderId="72" xfId="0" applyNumberFormat="1" applyFont="1" applyBorder="1" applyAlignment="1">
      <alignment horizontal="left"/>
    </xf>
    <xf numFmtId="0" fontId="2" fillId="5" borderId="37" xfId="0" applyFont="1" applyFill="1" applyBorder="1" applyAlignment="1">
      <alignment horizontal="left" vertical="center" wrapText="1"/>
    </xf>
    <xf numFmtId="0" fontId="0" fillId="5" borderId="18" xfId="0" applyFill="1" applyBorder="1"/>
    <xf numFmtId="37" fontId="102" fillId="10" borderId="1" xfId="3" applyNumberFormat="1" applyFont="1" applyFill="1" applyBorder="1" applyAlignment="1" applyProtection="1">
      <alignment horizontal="left"/>
    </xf>
    <xf numFmtId="37" fontId="0" fillId="0" borderId="1" xfId="0" applyNumberFormat="1" applyFont="1" applyBorder="1" applyAlignment="1">
      <alignment horizontal="left"/>
    </xf>
    <xf numFmtId="165" fontId="0" fillId="0" borderId="37" xfId="3" applyNumberFormat="1" applyFont="1" applyFill="1" applyBorder="1" applyAlignment="1"/>
    <xf numFmtId="0" fontId="0" fillId="0" borderId="76" xfId="0" applyFont="1" applyFill="1" applyBorder="1" applyAlignment="1"/>
    <xf numFmtId="165" fontId="0" fillId="0" borderId="79" xfId="0" applyNumberFormat="1" applyFont="1" applyFill="1" applyBorder="1" applyAlignment="1"/>
    <xf numFmtId="0" fontId="16" fillId="10" borderId="33" xfId="0" applyNumberFormat="1" applyFont="1" applyFill="1" applyBorder="1" applyAlignment="1" applyProtection="1">
      <alignment horizontal="left" wrapText="1"/>
    </xf>
    <xf numFmtId="37" fontId="0" fillId="0" borderId="33" xfId="0" applyNumberFormat="1" applyFont="1" applyBorder="1" applyAlignment="1">
      <alignment horizontal="left"/>
    </xf>
    <xf numFmtId="0" fontId="0" fillId="5" borderId="33" xfId="0" applyFont="1" applyFill="1" applyBorder="1" applyAlignment="1">
      <alignment horizontal="left"/>
    </xf>
    <xf numFmtId="8" fontId="16" fillId="10" borderId="121" xfId="0" applyNumberFormat="1" applyFont="1" applyFill="1" applyBorder="1" applyAlignment="1" applyProtection="1">
      <alignment horizontal="left" wrapText="1"/>
    </xf>
    <xf numFmtId="8" fontId="16" fillId="10" borderId="0" xfId="0" applyNumberFormat="1" applyFont="1" applyFill="1" applyBorder="1" applyAlignment="1" applyProtection="1">
      <alignment horizontal="left" wrapText="1"/>
    </xf>
    <xf numFmtId="0" fontId="0" fillId="5" borderId="81" xfId="0" applyFont="1" applyFill="1" applyBorder="1" applyAlignment="1">
      <alignment horizontal="left"/>
    </xf>
    <xf numFmtId="0" fontId="0" fillId="5" borderId="35" xfId="0" applyFont="1" applyFill="1" applyBorder="1" applyAlignment="1">
      <alignment horizontal="left"/>
    </xf>
    <xf numFmtId="2" fontId="16" fillId="10" borderId="81" xfId="0" applyNumberFormat="1" applyFont="1" applyFill="1" applyBorder="1" applyAlignment="1" applyProtection="1">
      <alignment horizontal="left" wrapText="1"/>
    </xf>
    <xf numFmtId="2" fontId="16" fillId="10" borderId="33" xfId="0" applyNumberFormat="1" applyFont="1" applyFill="1" applyBorder="1" applyAlignment="1" applyProtection="1">
      <alignment horizontal="left" wrapText="1"/>
    </xf>
    <xf numFmtId="169" fontId="0" fillId="71" borderId="18" xfId="0" applyNumberFormat="1" applyFont="1" applyFill="1" applyBorder="1" applyAlignment="1">
      <alignment horizontal="left"/>
    </xf>
    <xf numFmtId="0" fontId="0" fillId="0" borderId="122" xfId="0" applyFont="1" applyBorder="1" applyAlignment="1">
      <alignment horizontal="left"/>
    </xf>
    <xf numFmtId="0" fontId="0" fillId="0" borderId="72" xfId="0" applyFont="1" applyBorder="1" applyAlignment="1"/>
    <xf numFmtId="0" fontId="0" fillId="0" borderId="9" xfId="0" applyBorder="1" applyAlignment="1"/>
    <xf numFmtId="2" fontId="0" fillId="0" borderId="71" xfId="0" applyNumberFormat="1" applyFont="1" applyBorder="1" applyAlignment="1">
      <alignment horizontal="left"/>
    </xf>
    <xf numFmtId="0" fontId="2" fillId="5" borderId="72" xfId="0" applyFont="1" applyFill="1" applyBorder="1" applyAlignment="1">
      <alignment horizontal="left" vertical="center" wrapText="1"/>
    </xf>
    <xf numFmtId="0" fontId="2" fillId="5" borderId="78" xfId="0" applyFont="1" applyFill="1" applyBorder="1" applyAlignment="1">
      <alignment horizontal="left" vertical="center" wrapText="1"/>
    </xf>
    <xf numFmtId="169" fontId="0" fillId="0" borderId="1" xfId="0" applyNumberFormat="1" applyFont="1" applyBorder="1" applyAlignment="1">
      <alignment horizontal="left"/>
    </xf>
    <xf numFmtId="169" fontId="0" fillId="0" borderId="37" xfId="0" applyNumberFormat="1" applyFont="1" applyBorder="1" applyAlignment="1">
      <alignment horizontal="left"/>
    </xf>
    <xf numFmtId="169" fontId="0" fillId="5" borderId="13" xfId="0" applyNumberFormat="1" applyFont="1" applyFill="1" applyBorder="1" applyAlignment="1">
      <alignment horizontal="left"/>
    </xf>
    <xf numFmtId="169" fontId="0" fillId="5" borderId="0" xfId="1" applyNumberFormat="1" applyFont="1" applyFill="1" applyBorder="1" applyAlignment="1">
      <alignment horizontal="left"/>
    </xf>
    <xf numFmtId="169" fontId="0" fillId="5" borderId="0" xfId="2106" applyNumberFormat="1" applyFont="1" applyFill="1" applyBorder="1" applyAlignment="1">
      <alignment horizontal="left"/>
    </xf>
    <xf numFmtId="0" fontId="0" fillId="0" borderId="1" xfId="0" applyFont="1" applyBorder="1" applyAlignment="1">
      <alignment horizontal="left" vertical="center" wrapText="1"/>
    </xf>
    <xf numFmtId="0" fontId="103" fillId="10" borderId="1" xfId="0" applyNumberFormat="1" applyFont="1" applyFill="1" applyBorder="1" applyAlignment="1" applyProtection="1">
      <alignment horizontal="left"/>
    </xf>
    <xf numFmtId="0" fontId="2" fillId="5" borderId="1" xfId="0" applyFont="1" applyFill="1" applyBorder="1" applyAlignment="1">
      <alignment horizontal="left" vertical="center" wrapText="1"/>
    </xf>
    <xf numFmtId="0" fontId="103" fillId="10" borderId="1" xfId="0" applyNumberFormat="1" applyFont="1" applyFill="1" applyBorder="1" applyAlignment="1" applyProtection="1">
      <alignment horizontal="left" wrapText="1"/>
    </xf>
    <xf numFmtId="165" fontId="16" fillId="10" borderId="1" xfId="0" applyNumberFormat="1" applyFont="1" applyFill="1" applyBorder="1" applyAlignment="1" applyProtection="1">
      <alignment horizontal="left" wrapText="1"/>
    </xf>
    <xf numFmtId="165" fontId="16" fillId="10" borderId="37" xfId="0" applyNumberFormat="1" applyFont="1" applyFill="1" applyBorder="1" applyAlignment="1" applyProtection="1">
      <alignment horizontal="left" wrapText="1"/>
    </xf>
    <xf numFmtId="9" fontId="16" fillId="10" borderId="37" xfId="2106" applyFont="1" applyFill="1" applyBorder="1" applyAlignment="1" applyProtection="1">
      <alignment horizontal="left" wrapText="1"/>
    </xf>
    <xf numFmtId="0" fontId="0" fillId="71" borderId="13" xfId="0" applyFont="1" applyFill="1" applyBorder="1" applyAlignment="1"/>
    <xf numFmtId="169" fontId="0" fillId="5" borderId="0" xfId="0" applyNumberFormat="1" applyFill="1" applyBorder="1" applyAlignment="1">
      <alignment horizontal="left"/>
    </xf>
    <xf numFmtId="2" fontId="0" fillId="0" borderId="33" xfId="0" applyNumberFormat="1" applyFont="1" applyBorder="1" applyAlignment="1">
      <alignment horizontal="left"/>
    </xf>
    <xf numFmtId="0" fontId="0" fillId="5" borderId="107" xfId="0" applyFont="1" applyFill="1" applyBorder="1" applyAlignment="1"/>
    <xf numFmtId="0" fontId="0" fillId="5" borderId="114" xfId="0" applyFont="1" applyFill="1" applyBorder="1" applyAlignment="1"/>
    <xf numFmtId="0" fontId="0" fillId="0" borderId="3" xfId="0" applyFont="1" applyBorder="1" applyAlignment="1"/>
    <xf numFmtId="0" fontId="2" fillId="5" borderId="3" xfId="0" applyFont="1" applyFill="1" applyBorder="1" applyAlignment="1">
      <alignment horizontal="left" vertical="center" wrapText="1"/>
    </xf>
    <xf numFmtId="0" fontId="103" fillId="10" borderId="33" xfId="0" applyNumberFormat="1" applyFont="1" applyFill="1" applyBorder="1" applyAlignment="1" applyProtection="1">
      <alignment horizontal="left" wrapText="1"/>
    </xf>
    <xf numFmtId="2" fontId="0" fillId="0" borderId="81" xfId="0" applyNumberFormat="1" applyFont="1" applyBorder="1" applyAlignment="1">
      <alignment horizontal="left"/>
    </xf>
    <xf numFmtId="169" fontId="0" fillId="0" borderId="1" xfId="0" applyNumberFormat="1" applyFont="1" applyFill="1" applyBorder="1" applyAlignment="1">
      <alignment horizontal="left"/>
    </xf>
    <xf numFmtId="169" fontId="0" fillId="0" borderId="37" xfId="0" applyNumberFormat="1" applyFont="1" applyFill="1" applyBorder="1" applyAlignment="1">
      <alignment horizontal="left"/>
    </xf>
    <xf numFmtId="166" fontId="0" fillId="0" borderId="1" xfId="0" applyNumberFormat="1" applyFont="1" applyFill="1" applyBorder="1" applyAlignment="1">
      <alignment horizontal="left"/>
    </xf>
    <xf numFmtId="165" fontId="0" fillId="0" borderId="1" xfId="0" applyNumberFormat="1" applyFont="1" applyFill="1" applyBorder="1" applyAlignment="1">
      <alignment horizontal="left"/>
    </xf>
    <xf numFmtId="9" fontId="0" fillId="5" borderId="0" xfId="2106" applyFont="1" applyFill="1" applyBorder="1" applyAlignment="1">
      <alignment horizontal="left"/>
    </xf>
    <xf numFmtId="0" fontId="2" fillId="71" borderId="108" xfId="0" applyFont="1" applyFill="1" applyBorder="1" applyAlignment="1">
      <alignment vertical="center"/>
    </xf>
    <xf numFmtId="0" fontId="0" fillId="0" borderId="9" xfId="0" applyFont="1" applyBorder="1" applyAlignment="1">
      <alignment vertical="center" wrapText="1"/>
    </xf>
    <xf numFmtId="0" fontId="0" fillId="0" borderId="3" xfId="0" applyFont="1" applyBorder="1" applyAlignment="1">
      <alignment horizontal="left" vertical="center" wrapText="1"/>
    </xf>
    <xf numFmtId="0" fontId="0" fillId="5" borderId="9" xfId="0" applyFont="1" applyFill="1" applyBorder="1" applyAlignment="1">
      <alignment horizontal="left" vertical="center"/>
    </xf>
    <xf numFmtId="166" fontId="0" fillId="0" borderId="3" xfId="0" applyNumberFormat="1" applyFont="1" applyBorder="1" applyAlignment="1">
      <alignment horizontal="left" vertical="center"/>
    </xf>
    <xf numFmtId="166" fontId="0" fillId="0" borderId="9" xfId="0" applyNumberFormat="1" applyFont="1" applyBorder="1" applyAlignment="1">
      <alignment horizontal="left" vertical="center" wrapText="1"/>
    </xf>
    <xf numFmtId="2" fontId="0" fillId="0" borderId="9" xfId="0" applyNumberFormat="1" applyFont="1" applyBorder="1" applyAlignment="1">
      <alignment horizontal="left"/>
    </xf>
    <xf numFmtId="165" fontId="0" fillId="5" borderId="9" xfId="0" applyNumberFormat="1" applyFont="1" applyFill="1" applyBorder="1" applyAlignment="1">
      <alignment horizontal="left" vertical="center"/>
    </xf>
    <xf numFmtId="0" fontId="0" fillId="0" borderId="3" xfId="0" applyFont="1" applyBorder="1"/>
    <xf numFmtId="169" fontId="0" fillId="0" borderId="1" xfId="0" applyNumberFormat="1" applyFont="1" applyBorder="1" applyAlignment="1">
      <alignment horizontal="left" vertical="center"/>
    </xf>
    <xf numFmtId="0" fontId="0" fillId="0" borderId="37" xfId="0" applyFont="1" applyBorder="1" applyAlignment="1">
      <alignment vertical="center" wrapText="1"/>
    </xf>
    <xf numFmtId="0" fontId="0" fillId="5" borderId="37" xfId="0" applyFont="1" applyFill="1" applyBorder="1" applyAlignment="1">
      <alignment horizontal="left" vertical="center"/>
    </xf>
    <xf numFmtId="166" fontId="0" fillId="0" borderId="1" xfId="0" applyNumberFormat="1" applyFont="1" applyBorder="1" applyAlignment="1">
      <alignment horizontal="left" vertical="center"/>
    </xf>
    <xf numFmtId="166" fontId="0" fillId="0" borderId="37" xfId="0" applyNumberFormat="1" applyFont="1" applyBorder="1" applyAlignment="1">
      <alignment horizontal="left" vertical="center" wrapText="1"/>
    </xf>
    <xf numFmtId="0" fontId="0" fillId="0" borderId="37" xfId="0" applyFont="1" applyBorder="1"/>
    <xf numFmtId="2" fontId="0" fillId="0" borderId="37" xfId="0" applyNumberFormat="1" applyFont="1" applyBorder="1" applyAlignment="1">
      <alignment horizontal="left"/>
    </xf>
    <xf numFmtId="1" fontId="0" fillId="0" borderId="0" xfId="0" applyNumberFormat="1" applyFont="1" applyBorder="1" applyAlignment="1">
      <alignment horizontal="left"/>
    </xf>
    <xf numFmtId="1" fontId="0" fillId="71" borderId="13" xfId="0" applyNumberFormat="1" applyFont="1" applyFill="1" applyBorder="1" applyAlignment="1">
      <alignment horizontal="left"/>
    </xf>
    <xf numFmtId="0" fontId="0" fillId="0" borderId="37" xfId="0" applyFont="1" applyBorder="1" applyAlignment="1">
      <alignment horizontal="left" vertical="center" wrapText="1"/>
    </xf>
    <xf numFmtId="164" fontId="0" fillId="0" borderId="35" xfId="0" applyNumberFormat="1" applyFont="1" applyBorder="1" applyAlignment="1">
      <alignment horizontal="left"/>
    </xf>
    <xf numFmtId="164" fontId="0" fillId="71" borderId="13" xfId="0" applyNumberFormat="1" applyFont="1" applyFill="1" applyBorder="1" applyAlignment="1">
      <alignment horizontal="left"/>
    </xf>
    <xf numFmtId="0" fontId="0" fillId="0" borderId="33" xfId="0" applyFont="1" applyBorder="1"/>
    <xf numFmtId="0" fontId="0" fillId="5" borderId="13" xfId="0" applyFont="1" applyFill="1" applyBorder="1" applyAlignment="1">
      <alignment vertical="center"/>
    </xf>
    <xf numFmtId="0" fontId="0" fillId="6" borderId="37" xfId="0" applyFont="1" applyFill="1" applyBorder="1" applyAlignment="1"/>
    <xf numFmtId="2" fontId="0" fillId="5" borderId="37" xfId="0" applyNumberFormat="1" applyFont="1" applyFill="1" applyBorder="1" applyAlignment="1">
      <alignment horizontal="left" vertical="center"/>
    </xf>
    <xf numFmtId="0" fontId="0" fillId="5" borderId="7" xfId="0" applyFont="1" applyFill="1" applyBorder="1" applyAlignment="1">
      <alignment horizontal="left"/>
    </xf>
    <xf numFmtId="0" fontId="0" fillId="5" borderId="9" xfId="0" applyFont="1" applyFill="1" applyBorder="1"/>
    <xf numFmtId="0" fontId="0" fillId="5" borderId="7" xfId="0" applyFont="1" applyFill="1" applyBorder="1"/>
    <xf numFmtId="0" fontId="0" fillId="0" borderId="33" xfId="0" applyFont="1" applyBorder="1" applyAlignment="1">
      <alignment horizontal="left" vertical="center" wrapText="1"/>
    </xf>
    <xf numFmtId="2" fontId="0" fillId="6" borderId="37" xfId="3" applyNumberFormat="1" applyFont="1" applyFill="1" applyBorder="1" applyAlignment="1">
      <alignment horizontal="left" vertical="center"/>
    </xf>
    <xf numFmtId="166" fontId="0" fillId="0" borderId="1" xfId="0" applyNumberFormat="1" applyFont="1" applyFill="1" applyBorder="1" applyAlignment="1">
      <alignment horizontal="left" vertical="center"/>
    </xf>
    <xf numFmtId="166" fontId="0" fillId="0" borderId="37" xfId="0" applyNumberFormat="1" applyFont="1" applyFill="1" applyBorder="1" applyAlignment="1">
      <alignment horizontal="left" vertical="center"/>
    </xf>
    <xf numFmtId="0" fontId="0" fillId="5" borderId="23" xfId="0" applyFont="1" applyFill="1" applyBorder="1" applyAlignment="1"/>
    <xf numFmtId="0" fontId="0" fillId="5" borderId="37" xfId="0" applyFont="1" applyFill="1" applyBorder="1" applyAlignment="1"/>
    <xf numFmtId="2" fontId="0" fillId="0" borderId="72" xfId="0" applyNumberFormat="1" applyFont="1" applyBorder="1" applyAlignment="1">
      <alignment horizontal="left"/>
    </xf>
    <xf numFmtId="165" fontId="0" fillId="0" borderId="78" xfId="0" applyNumberFormat="1" applyFont="1" applyFill="1" applyBorder="1" applyAlignment="1">
      <alignment horizontal="left"/>
    </xf>
    <xf numFmtId="169" fontId="0" fillId="71" borderId="8" xfId="0" applyNumberFormat="1" applyFont="1" applyFill="1" applyBorder="1" applyAlignment="1">
      <alignment horizontal="left"/>
    </xf>
    <xf numFmtId="0" fontId="0" fillId="5" borderId="66" xfId="0" applyFont="1" applyFill="1" applyBorder="1" applyAlignment="1"/>
    <xf numFmtId="0" fontId="0" fillId="0" borderId="23" xfId="0" applyFont="1" applyBorder="1"/>
    <xf numFmtId="0" fontId="0" fillId="0" borderId="72" xfId="0" applyFont="1" applyBorder="1"/>
    <xf numFmtId="169" fontId="0" fillId="6" borderId="1" xfId="1" applyNumberFormat="1" applyFont="1" applyFill="1" applyBorder="1" applyAlignment="1">
      <alignment horizontal="left"/>
    </xf>
    <xf numFmtId="169" fontId="0" fillId="0" borderId="1" xfId="0" applyNumberFormat="1" applyBorder="1" applyAlignment="1">
      <alignment horizontal="left"/>
    </xf>
    <xf numFmtId="169" fontId="0" fillId="0" borderId="37" xfId="0" applyNumberFormat="1" applyBorder="1" applyAlignment="1">
      <alignment horizontal="left"/>
    </xf>
    <xf numFmtId="0" fontId="0" fillId="0" borderId="113" xfId="0" applyFont="1" applyBorder="1" applyAlignment="1">
      <alignment vertical="center"/>
    </xf>
    <xf numFmtId="0" fontId="0" fillId="0" borderId="66" xfId="0" applyFont="1" applyBorder="1" applyAlignment="1">
      <alignment vertical="center"/>
    </xf>
    <xf numFmtId="16" fontId="0" fillId="0" borderId="33" xfId="0" applyNumberFormat="1" applyFont="1" applyBorder="1" applyAlignment="1">
      <alignment vertical="center" wrapText="1"/>
    </xf>
    <xf numFmtId="0" fontId="0" fillId="0" borderId="33" xfId="0" applyFont="1" applyFill="1" applyBorder="1" applyAlignment="1">
      <alignment horizontal="left" vertical="center"/>
    </xf>
    <xf numFmtId="166" fontId="0" fillId="0" borderId="33" xfId="0" applyNumberFormat="1" applyFont="1" applyFill="1" applyBorder="1" applyAlignment="1">
      <alignment horizontal="left" vertical="center"/>
    </xf>
    <xf numFmtId="166" fontId="0" fillId="0" borderId="35" xfId="0" applyNumberFormat="1" applyFont="1" applyFill="1" applyBorder="1" applyAlignment="1">
      <alignment horizontal="left" vertical="center"/>
    </xf>
    <xf numFmtId="0" fontId="0" fillId="5" borderId="81" xfId="0" applyFont="1" applyFill="1" applyBorder="1" applyAlignment="1"/>
    <xf numFmtId="2" fontId="0" fillId="0" borderId="81" xfId="0" applyNumberFormat="1" applyFont="1" applyBorder="1" applyAlignment="1">
      <alignment horizontal="left" vertical="center"/>
    </xf>
    <xf numFmtId="2" fontId="0" fillId="0" borderId="33" xfId="0" applyNumberFormat="1" applyFont="1" applyBorder="1" applyAlignment="1">
      <alignment horizontal="left" vertical="center"/>
    </xf>
    <xf numFmtId="165" fontId="0" fillId="5" borderId="33" xfId="0" applyNumberFormat="1" applyFont="1" applyFill="1" applyBorder="1" applyAlignment="1">
      <alignment vertical="center"/>
    </xf>
    <xf numFmtId="165" fontId="0" fillId="0" borderId="33" xfId="0" applyNumberFormat="1" applyFont="1" applyFill="1" applyBorder="1" applyAlignment="1">
      <alignment horizontal="left" vertical="center"/>
    </xf>
    <xf numFmtId="0" fontId="0" fillId="5" borderId="12" xfId="0" applyFont="1" applyFill="1" applyBorder="1" applyAlignment="1"/>
    <xf numFmtId="0" fontId="0" fillId="6" borderId="36" xfId="0" applyFont="1" applyFill="1" applyBorder="1" applyAlignment="1"/>
    <xf numFmtId="0" fontId="0" fillId="0" borderId="37" xfId="0" applyFont="1" applyFill="1" applyBorder="1" applyAlignment="1"/>
    <xf numFmtId="0" fontId="0" fillId="5" borderId="1" xfId="0" applyFont="1" applyFill="1" applyBorder="1" applyAlignment="1"/>
    <xf numFmtId="165" fontId="0" fillId="0" borderId="1" xfId="0" applyNumberFormat="1" applyFont="1" applyFill="1" applyBorder="1" applyAlignment="1">
      <alignment horizontal="left" vertical="center"/>
    </xf>
    <xf numFmtId="0" fontId="0" fillId="0" borderId="33" xfId="0" applyFont="1" applyBorder="1" applyAlignment="1"/>
    <xf numFmtId="2" fontId="0" fillId="0" borderId="23" xfId="0" applyNumberFormat="1" applyFont="1" applyBorder="1" applyAlignment="1">
      <alignment horizontal="left" vertical="center"/>
    </xf>
    <xf numFmtId="2" fontId="0" fillId="0" borderId="1" xfId="0" quotePrefix="1" applyNumberFormat="1" applyFont="1" applyBorder="1" applyAlignment="1">
      <alignment horizontal="left" vertical="center"/>
    </xf>
    <xf numFmtId="0" fontId="0" fillId="0" borderId="1" xfId="0" applyFont="1" applyFill="1" applyBorder="1" applyAlignment="1">
      <alignment horizontal="left" vertical="center"/>
    </xf>
    <xf numFmtId="0" fontId="0" fillId="0" borderId="37" xfId="0" applyFont="1" applyFill="1" applyBorder="1" applyAlignment="1">
      <alignment horizontal="left" vertical="center"/>
    </xf>
    <xf numFmtId="0" fontId="0" fillId="5" borderId="62" xfId="0" applyFont="1" applyFill="1" applyBorder="1" applyAlignment="1"/>
    <xf numFmtId="2" fontId="0" fillId="5" borderId="62" xfId="0" applyNumberFormat="1" applyFont="1" applyFill="1" applyBorder="1" applyAlignment="1">
      <alignment horizontal="left"/>
    </xf>
    <xf numFmtId="2" fontId="0" fillId="5" borderId="80" xfId="0" applyNumberFormat="1" applyFont="1" applyFill="1" applyBorder="1" applyAlignment="1">
      <alignment horizontal="left"/>
    </xf>
    <xf numFmtId="165" fontId="0" fillId="5" borderId="80" xfId="0" applyNumberFormat="1" applyFont="1" applyFill="1" applyBorder="1" applyAlignment="1">
      <alignment horizontal="left"/>
    </xf>
    <xf numFmtId="0" fontId="0" fillId="6" borderId="66" xfId="0" applyFont="1" applyFill="1" applyBorder="1" applyAlignment="1"/>
    <xf numFmtId="0" fontId="0" fillId="0" borderId="35" xfId="0" applyFont="1" applyFill="1" applyBorder="1" applyAlignment="1"/>
    <xf numFmtId="0" fontId="0" fillId="0" borderId="81" xfId="0" applyFont="1" applyBorder="1"/>
    <xf numFmtId="0" fontId="0" fillId="5" borderId="63" xfId="0" applyFont="1" applyFill="1" applyBorder="1" applyAlignment="1"/>
    <xf numFmtId="2" fontId="0" fillId="5" borderId="63" xfId="0" applyNumberFormat="1" applyFont="1" applyFill="1" applyBorder="1" applyAlignment="1">
      <alignment horizontal="left"/>
    </xf>
    <xf numFmtId="2" fontId="0" fillId="5" borderId="0" xfId="0" applyNumberFormat="1" applyFont="1" applyFill="1" applyBorder="1" applyAlignment="1">
      <alignment horizontal="left"/>
    </xf>
    <xf numFmtId="169" fontId="0" fillId="0" borderId="35" xfId="0" applyNumberFormat="1" applyFont="1" applyFill="1" applyBorder="1" applyAlignment="1">
      <alignment horizontal="left"/>
    </xf>
    <xf numFmtId="169" fontId="0" fillId="5" borderId="80" xfId="0" applyNumberFormat="1" applyFont="1" applyFill="1" applyBorder="1" applyAlignment="1">
      <alignment horizontal="left"/>
    </xf>
    <xf numFmtId="0" fontId="0" fillId="5" borderId="35" xfId="0" applyFont="1" applyFill="1" applyBorder="1" applyAlignment="1">
      <alignment vertical="center" wrapText="1"/>
    </xf>
    <xf numFmtId="39" fontId="0" fillId="0" borderId="1" xfId="3" applyNumberFormat="1" applyFont="1" applyFill="1" applyBorder="1" applyAlignment="1">
      <alignment horizontal="left"/>
    </xf>
    <xf numFmtId="0" fontId="0" fillId="0" borderId="71" xfId="0" applyFont="1" applyFill="1" applyBorder="1" applyAlignment="1"/>
    <xf numFmtId="169" fontId="0" fillId="6" borderId="122" xfId="1" applyNumberFormat="1" applyFont="1" applyFill="1" applyBorder="1" applyAlignment="1">
      <alignment horizontal="left"/>
    </xf>
    <xf numFmtId="169" fontId="0" fillId="6" borderId="37" xfId="1" applyNumberFormat="1" applyFont="1" applyFill="1" applyBorder="1" applyAlignment="1">
      <alignment horizontal="left"/>
    </xf>
    <xf numFmtId="166" fontId="0" fillId="71" borderId="63" xfId="0" applyNumberFormat="1" applyFont="1" applyFill="1" applyBorder="1" applyAlignment="1"/>
    <xf numFmtId="165" fontId="16" fillId="10" borderId="23" xfId="0" applyNumberFormat="1" applyFont="1" applyFill="1" applyBorder="1" applyAlignment="1" applyProtection="1">
      <alignment horizontal="left" wrapText="1"/>
    </xf>
    <xf numFmtId="0" fontId="0" fillId="0" borderId="37" xfId="0" applyBorder="1" applyAlignment="1">
      <alignment horizontal="left"/>
    </xf>
    <xf numFmtId="0" fontId="0" fillId="71" borderId="13" xfId="0" applyFill="1" applyBorder="1" applyAlignment="1">
      <alignment horizontal="left"/>
    </xf>
    <xf numFmtId="0" fontId="0" fillId="0" borderId="23" xfId="0" applyFont="1" applyFill="1" applyBorder="1" applyAlignment="1"/>
    <xf numFmtId="169" fontId="0" fillId="6" borderId="36" xfId="1" applyNumberFormat="1" applyFont="1" applyFill="1" applyBorder="1" applyAlignment="1">
      <alignment horizontal="left"/>
    </xf>
    <xf numFmtId="2" fontId="0" fillId="0" borderId="1" xfId="0" quotePrefix="1" applyNumberFormat="1" applyFont="1" applyFill="1" applyBorder="1" applyAlignment="1">
      <alignment horizontal="left"/>
    </xf>
    <xf numFmtId="165" fontId="0" fillId="80" borderId="1" xfId="0" applyNumberFormat="1" applyFont="1" applyFill="1" applyBorder="1" applyAlignment="1" applyProtection="1">
      <alignment horizontal="left"/>
    </xf>
    <xf numFmtId="165" fontId="0" fillId="0" borderId="35" xfId="0" applyNumberFormat="1" applyFont="1" applyFill="1" applyBorder="1" applyAlignment="1"/>
    <xf numFmtId="2" fontId="16" fillId="10" borderId="1" xfId="0" quotePrefix="1" applyNumberFormat="1" applyFont="1" applyFill="1" applyBorder="1" applyAlignment="1" applyProtection="1">
      <alignment horizontal="left" wrapText="1"/>
    </xf>
    <xf numFmtId="39" fontId="0" fillId="0" borderId="33" xfId="3" applyNumberFormat="1" applyFont="1" applyFill="1" applyBorder="1" applyAlignment="1">
      <alignment horizontal="left"/>
    </xf>
    <xf numFmtId="9" fontId="16" fillId="10" borderId="35" xfId="2106" applyFont="1" applyFill="1" applyBorder="1" applyAlignment="1" applyProtection="1">
      <alignment horizontal="left" wrapText="1"/>
    </xf>
    <xf numFmtId="0" fontId="0" fillId="0" borderId="81" xfId="0" applyFont="1" applyFill="1" applyBorder="1" applyAlignment="1"/>
    <xf numFmtId="0" fontId="100" fillId="14" borderId="0" xfId="0" applyFont="1" applyFill="1" applyBorder="1" applyAlignment="1">
      <alignment horizontal="left" vertical="center" wrapText="1"/>
    </xf>
    <xf numFmtId="39" fontId="0" fillId="5" borderId="126" xfId="3" applyNumberFormat="1" applyFont="1" applyFill="1" applyBorder="1" applyAlignment="1">
      <alignment horizontal="left"/>
    </xf>
    <xf numFmtId="9" fontId="16" fillId="5" borderId="93" xfId="2106" applyFont="1" applyFill="1" applyBorder="1" applyAlignment="1" applyProtection="1">
      <alignment horizontal="left" wrapText="1"/>
    </xf>
    <xf numFmtId="169" fontId="0" fillId="5" borderId="0" xfId="0" applyNumberFormat="1" applyFont="1" applyFill="1" applyBorder="1" applyAlignment="1">
      <alignment horizontal="left" vertical="center"/>
    </xf>
    <xf numFmtId="0" fontId="0" fillId="5" borderId="20" xfId="0" applyFont="1" applyFill="1" applyBorder="1" applyAlignment="1"/>
    <xf numFmtId="0" fontId="0" fillId="5" borderId="127" xfId="0" applyFont="1" applyFill="1" applyBorder="1" applyAlignment="1"/>
    <xf numFmtId="0" fontId="0" fillId="0" borderId="110" xfId="0" applyFont="1" applyBorder="1" applyAlignment="1">
      <alignment vertical="center"/>
    </xf>
    <xf numFmtId="0" fontId="0" fillId="0" borderId="11" xfId="0" applyFont="1" applyBorder="1" applyAlignment="1">
      <alignment horizontal="left" vertical="center"/>
    </xf>
    <xf numFmtId="0" fontId="16" fillId="10" borderId="115" xfId="0" applyNumberFormat="1" applyFont="1" applyFill="1" applyBorder="1" applyAlignment="1" applyProtection="1">
      <alignment horizontal="left" vertical="center" wrapText="1"/>
    </xf>
    <xf numFmtId="8" fontId="16" fillId="10" borderId="115" xfId="0" applyNumberFormat="1" applyFont="1" applyFill="1" applyBorder="1" applyAlignment="1" applyProtection="1">
      <alignment horizontal="left" vertical="center" wrapText="1"/>
    </xf>
    <xf numFmtId="8" fontId="16" fillId="10" borderId="116" xfId="0" applyNumberFormat="1" applyFont="1" applyFill="1" applyBorder="1" applyAlignment="1" applyProtection="1">
      <alignment horizontal="left" vertical="center" wrapText="1"/>
    </xf>
    <xf numFmtId="0" fontId="0" fillId="0" borderId="71" xfId="0" applyFont="1" applyBorder="1" applyAlignment="1">
      <alignment vertical="center"/>
    </xf>
    <xf numFmtId="0" fontId="0" fillId="0" borderId="78" xfId="0" applyFont="1" applyBorder="1" applyAlignment="1">
      <alignment vertical="center" wrapText="1"/>
    </xf>
    <xf numFmtId="0" fontId="0" fillId="5" borderId="83" xfId="0" applyFont="1" applyFill="1" applyBorder="1" applyAlignment="1">
      <alignment horizontal="left" vertical="center"/>
    </xf>
    <xf numFmtId="2" fontId="16" fillId="10" borderId="117" xfId="0" applyNumberFormat="1" applyFont="1" applyFill="1" applyBorder="1" applyAlignment="1" applyProtection="1">
      <alignment horizontal="left" vertical="center" wrapText="1"/>
    </xf>
    <xf numFmtId="2" fontId="16" fillId="10" borderId="115" xfId="0" applyNumberFormat="1" applyFont="1" applyFill="1" applyBorder="1" applyAlignment="1" applyProtection="1">
      <alignment horizontal="left" vertical="center" wrapText="1"/>
    </xf>
    <xf numFmtId="165" fontId="0" fillId="5" borderId="8" xfId="0" applyNumberFormat="1" applyFont="1" applyFill="1" applyBorder="1" applyAlignment="1">
      <alignment horizontal="left" vertical="center"/>
    </xf>
    <xf numFmtId="165" fontId="0" fillId="0" borderId="0" xfId="0" applyNumberFormat="1" applyFont="1" applyBorder="1" applyAlignment="1">
      <alignment horizontal="left" vertical="center"/>
    </xf>
    <xf numFmtId="0" fontId="0" fillId="0" borderId="3" xfId="0" applyFont="1" applyBorder="1" applyAlignment="1">
      <alignment vertical="center"/>
    </xf>
    <xf numFmtId="0" fontId="0" fillId="0" borderId="3" xfId="0" applyFont="1" applyFill="1" applyBorder="1" applyAlignment="1">
      <alignment horizontal="left" vertical="center"/>
    </xf>
    <xf numFmtId="0" fontId="0" fillId="0" borderId="13" xfId="0" applyFont="1" applyBorder="1" applyAlignment="1">
      <alignment horizontal="left" vertical="center"/>
    </xf>
    <xf numFmtId="0" fontId="0" fillId="71" borderId="8" xfId="0" applyFont="1" applyFill="1" applyBorder="1" applyAlignment="1">
      <alignment horizontal="left" vertical="center"/>
    </xf>
    <xf numFmtId="0" fontId="0" fillId="5" borderId="0" xfId="0" applyFont="1" applyFill="1" applyBorder="1" applyAlignment="1">
      <alignment vertical="center"/>
    </xf>
    <xf numFmtId="0" fontId="0" fillId="0" borderId="71" xfId="0" applyBorder="1" applyAlignment="1">
      <alignment vertical="center"/>
    </xf>
    <xf numFmtId="0" fontId="0" fillId="0" borderId="72" xfId="0" applyFont="1" applyBorder="1" applyAlignment="1">
      <alignment vertical="center"/>
    </xf>
    <xf numFmtId="0" fontId="0" fillId="71" borderId="63" xfId="0" applyFont="1" applyFill="1" applyBorder="1" applyAlignment="1">
      <alignment vertical="center"/>
    </xf>
    <xf numFmtId="0" fontId="0" fillId="0" borderId="0" xfId="0" applyFont="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16" fillId="10" borderId="115" xfId="0" applyNumberFormat="1" applyFont="1" applyFill="1" applyBorder="1" applyAlignment="1" applyProtection="1">
      <alignment horizontal="left" wrapText="1"/>
    </xf>
    <xf numFmtId="0" fontId="0" fillId="0" borderId="23" xfId="0" applyFont="1" applyBorder="1" applyAlignment="1">
      <alignment horizontal="left"/>
    </xf>
    <xf numFmtId="0" fontId="0" fillId="0" borderId="34" xfId="0" applyFont="1" applyBorder="1" applyAlignment="1">
      <alignment horizontal="left"/>
    </xf>
    <xf numFmtId="2" fontId="16" fillId="10" borderId="117" xfId="0" applyNumberFormat="1" applyFont="1" applyFill="1" applyBorder="1" applyAlignment="1" applyProtection="1">
      <alignment horizontal="left" wrapText="1"/>
    </xf>
    <xf numFmtId="2" fontId="16" fillId="10" borderId="116" xfId="0" applyNumberFormat="1" applyFont="1" applyFill="1" applyBorder="1" applyAlignment="1" applyProtection="1">
      <alignment horizontal="left" wrapText="1"/>
    </xf>
    <xf numFmtId="169" fontId="0" fillId="0" borderId="0" xfId="0" applyNumberFormat="1" applyFont="1" applyBorder="1" applyAlignment="1">
      <alignment horizontal="left"/>
    </xf>
    <xf numFmtId="0" fontId="0" fillId="71" borderId="63" xfId="0" applyFont="1" applyFill="1" applyBorder="1" applyAlignment="1"/>
    <xf numFmtId="0" fontId="64" fillId="0" borderId="111" xfId="0" applyFont="1" applyBorder="1" applyAlignment="1"/>
    <xf numFmtId="0" fontId="0" fillId="5" borderId="36" xfId="0" applyFont="1" applyFill="1" applyBorder="1" applyAlignment="1">
      <alignment horizontal="left"/>
    </xf>
    <xf numFmtId="0" fontId="64" fillId="0" borderId="23" xfId="0" applyFont="1" applyBorder="1" applyAlignment="1">
      <alignment horizontal="left"/>
    </xf>
    <xf numFmtId="0" fontId="64" fillId="0" borderId="34" xfId="0" applyFont="1" applyBorder="1" applyAlignment="1">
      <alignment horizontal="left"/>
    </xf>
    <xf numFmtId="2" fontId="0" fillId="5" borderId="23" xfId="0" applyNumberFormat="1" applyFont="1" applyFill="1" applyBorder="1" applyAlignment="1">
      <alignment horizontal="left"/>
    </xf>
    <xf numFmtId="2" fontId="0" fillId="5" borderId="1" xfId="0" applyNumberFormat="1" applyFont="1" applyFill="1" applyBorder="1" applyAlignment="1">
      <alignment horizontal="left"/>
    </xf>
    <xf numFmtId="2" fontId="0" fillId="5" borderId="63" xfId="0" applyNumberFormat="1" applyFont="1" applyFill="1" applyBorder="1" applyAlignment="1"/>
    <xf numFmtId="2" fontId="0" fillId="5" borderId="0" xfId="0" applyNumberFormat="1" applyFont="1" applyFill="1" applyBorder="1" applyAlignment="1"/>
    <xf numFmtId="9" fontId="16" fillId="10" borderId="37" xfId="2106" applyFont="1" applyFill="1" applyBorder="1" applyAlignment="1" applyProtection="1">
      <alignment horizontal="left" vertical="center" wrapText="1"/>
    </xf>
    <xf numFmtId="9" fontId="16" fillId="71" borderId="13" xfId="2106" applyFont="1" applyFill="1" applyBorder="1" applyAlignment="1" applyProtection="1">
      <alignment horizontal="left" vertical="center" wrapText="1"/>
    </xf>
    <xf numFmtId="166" fontId="0" fillId="0" borderId="33" xfId="0" applyNumberFormat="1" applyFont="1" applyBorder="1" applyAlignment="1">
      <alignment horizontal="left"/>
    </xf>
    <xf numFmtId="166" fontId="0" fillId="0" borderId="35" xfId="1" applyNumberFormat="1" applyFont="1" applyBorder="1" applyAlignment="1">
      <alignment horizontal="left"/>
    </xf>
    <xf numFmtId="0" fontId="0" fillId="5" borderId="79" xfId="0" applyFont="1" applyFill="1" applyBorder="1" applyAlignment="1">
      <alignment horizontal="right"/>
    </xf>
    <xf numFmtId="0" fontId="0" fillId="5" borderId="126" xfId="0" applyFont="1" applyFill="1" applyBorder="1" applyAlignment="1"/>
    <xf numFmtId="166" fontId="0" fillId="5" borderId="126" xfId="0" applyNumberFormat="1" applyFont="1" applyFill="1" applyBorder="1" applyAlignment="1">
      <alignment horizontal="left"/>
    </xf>
    <xf numFmtId="166" fontId="0" fillId="5" borderId="93" xfId="1" applyNumberFormat="1" applyFont="1" applyFill="1" applyBorder="1" applyAlignment="1">
      <alignment horizontal="left"/>
    </xf>
    <xf numFmtId="0" fontId="0" fillId="0" borderId="122" xfId="0" applyFont="1" applyBorder="1" applyAlignment="1">
      <alignment horizontal="left" vertical="center"/>
    </xf>
    <xf numFmtId="165" fontId="16" fillId="10" borderId="115" xfId="0" applyNumberFormat="1" applyFont="1" applyFill="1" applyBorder="1" applyAlignment="1" applyProtection="1">
      <alignment horizontal="left" vertical="center" wrapText="1"/>
    </xf>
    <xf numFmtId="0" fontId="0" fillId="5" borderId="23" xfId="0" applyFont="1" applyFill="1" applyBorder="1" applyAlignment="1">
      <alignment horizontal="left" vertical="center"/>
    </xf>
    <xf numFmtId="2" fontId="16" fillId="10" borderId="23" xfId="0" applyNumberFormat="1" applyFont="1" applyFill="1" applyBorder="1" applyAlignment="1" applyProtection="1">
      <alignment horizontal="left" vertical="center" wrapText="1"/>
    </xf>
    <xf numFmtId="2" fontId="16" fillId="10" borderId="1" xfId="0" applyNumberFormat="1" applyFont="1" applyFill="1" applyBorder="1" applyAlignment="1" applyProtection="1">
      <alignment horizontal="left" vertical="center" wrapText="1"/>
    </xf>
    <xf numFmtId="0" fontId="0" fillId="0" borderId="1" xfId="0" applyFont="1" applyFill="1" applyBorder="1" applyAlignment="1">
      <alignment vertical="center"/>
    </xf>
    <xf numFmtId="166" fontId="0" fillId="0" borderId="33" xfId="0" applyNumberFormat="1" applyFont="1" applyBorder="1" applyAlignment="1">
      <alignment horizontal="left" vertical="center"/>
    </xf>
    <xf numFmtId="166" fontId="0" fillId="0" borderId="35" xfId="1" applyNumberFormat="1" applyFont="1" applyBorder="1" applyAlignment="1">
      <alignment horizontal="left" vertical="center"/>
    </xf>
    <xf numFmtId="166" fontId="0" fillId="71" borderId="8" xfId="1" applyNumberFormat="1" applyFont="1" applyFill="1" applyBorder="1" applyAlignment="1">
      <alignment horizontal="left" vertical="center"/>
    </xf>
    <xf numFmtId="0" fontId="0" fillId="5" borderId="44" xfId="0" applyFont="1" applyFill="1" applyBorder="1" applyAlignment="1">
      <alignment vertical="center"/>
    </xf>
    <xf numFmtId="169" fontId="0" fillId="0" borderId="1" xfId="0" applyNumberFormat="1" applyFont="1" applyFill="1" applyBorder="1" applyAlignment="1">
      <alignment horizontal="left" vertical="center"/>
    </xf>
    <xf numFmtId="0" fontId="0" fillId="71" borderId="42" xfId="0" applyFont="1" applyFill="1" applyBorder="1" applyAlignment="1">
      <alignment vertical="center"/>
    </xf>
    <xf numFmtId="0" fontId="0" fillId="0" borderId="0" xfId="0" applyFont="1" applyFill="1" applyBorder="1" applyAlignment="1">
      <alignment vertical="center"/>
    </xf>
    <xf numFmtId="0" fontId="0" fillId="0" borderId="19" xfId="0" applyFont="1" applyFill="1" applyBorder="1" applyAlignment="1">
      <alignment vertical="center"/>
    </xf>
    <xf numFmtId="0" fontId="16" fillId="10" borderId="121" xfId="0" applyNumberFormat="1" applyFont="1" applyFill="1" applyBorder="1" applyAlignment="1" applyProtection="1">
      <alignment horizontal="left" wrapText="1"/>
    </xf>
    <xf numFmtId="0" fontId="0" fillId="0" borderId="23" xfId="0" applyBorder="1" applyAlignment="1">
      <alignment vertical="center"/>
    </xf>
    <xf numFmtId="0" fontId="0" fillId="0" borderId="19" xfId="0" applyFont="1" applyFill="1" applyBorder="1" applyAlignment="1"/>
    <xf numFmtId="0" fontId="64" fillId="0" borderId="111" xfId="0" applyFont="1" applyBorder="1" applyAlignment="1">
      <alignment vertical="center"/>
    </xf>
    <xf numFmtId="0" fontId="64" fillId="0" borderId="37" xfId="0" applyFont="1" applyFill="1" applyBorder="1" applyAlignment="1">
      <alignment vertical="center"/>
    </xf>
    <xf numFmtId="0" fontId="64" fillId="0" borderId="111" xfId="0" applyFont="1" applyFill="1" applyBorder="1" applyAlignment="1">
      <alignment vertical="center"/>
    </xf>
    <xf numFmtId="0" fontId="0" fillId="5" borderId="36" xfId="0" applyFont="1" applyFill="1" applyBorder="1" applyAlignment="1">
      <alignment horizontal="left" vertical="center"/>
    </xf>
    <xf numFmtId="0" fontId="64" fillId="0" borderId="23" xfId="0" applyFont="1" applyFill="1" applyBorder="1" applyAlignment="1">
      <alignment vertical="center"/>
    </xf>
    <xf numFmtId="0" fontId="64" fillId="0" borderId="37" xfId="0" applyFont="1" applyFill="1" applyBorder="1" applyAlignment="1">
      <alignment vertical="center" wrapText="1"/>
    </xf>
    <xf numFmtId="165" fontId="16" fillId="10" borderId="116" xfId="0" applyNumberFormat="1" applyFont="1" applyFill="1" applyBorder="1" applyAlignment="1" applyProtection="1">
      <alignment horizontal="left" vertical="center" wrapText="1"/>
    </xf>
    <xf numFmtId="165" fontId="16" fillId="71" borderId="13" xfId="0" applyNumberFormat="1" applyFont="1" applyFill="1" applyBorder="1" applyAlignment="1" applyProtection="1">
      <alignment horizontal="left" vertical="center" wrapText="1"/>
    </xf>
    <xf numFmtId="0" fontId="0" fillId="5" borderId="80" xfId="0" applyFont="1" applyFill="1" applyBorder="1" applyAlignment="1">
      <alignment horizontal="left" vertical="center"/>
    </xf>
    <xf numFmtId="0" fontId="0" fillId="5" borderId="0" xfId="0" applyFont="1" applyFill="1" applyBorder="1" applyAlignment="1">
      <alignment horizontal="left" vertical="center"/>
    </xf>
    <xf numFmtId="165" fontId="0" fillId="5" borderId="0" xfId="0" applyNumberFormat="1" applyFont="1" applyFill="1" applyBorder="1" applyAlignment="1">
      <alignment horizontal="left" vertical="center"/>
    </xf>
    <xf numFmtId="0" fontId="0" fillId="5" borderId="63" xfId="0" applyFont="1" applyFill="1" applyBorder="1" applyAlignment="1">
      <alignment vertical="center"/>
    </xf>
    <xf numFmtId="0" fontId="103" fillId="5" borderId="35" xfId="0" applyNumberFormat="1" applyFont="1" applyFill="1" applyBorder="1" applyAlignment="1" applyProtection="1">
      <alignment horizontal="left" wrapText="1"/>
    </xf>
    <xf numFmtId="9" fontId="16" fillId="5" borderId="0" xfId="2106" applyFont="1" applyFill="1" applyBorder="1" applyAlignment="1" applyProtection="1">
      <alignment horizontal="left" vertical="center" wrapText="1"/>
    </xf>
    <xf numFmtId="0" fontId="103" fillId="5" borderId="13" xfId="0" applyNumberFormat="1" applyFont="1" applyFill="1" applyBorder="1" applyAlignment="1" applyProtection="1">
      <alignment horizontal="left" wrapText="1"/>
    </xf>
    <xf numFmtId="0" fontId="0" fillId="5" borderId="128" xfId="0" applyFont="1" applyFill="1" applyBorder="1" applyAlignment="1">
      <alignment horizontal="left" vertical="center"/>
    </xf>
    <xf numFmtId="0" fontId="0" fillId="0" borderId="33" xfId="0" applyFont="1" applyFill="1" applyBorder="1" applyAlignment="1"/>
    <xf numFmtId="166" fontId="0" fillId="5" borderId="80" xfId="0" applyNumberFormat="1" applyFont="1" applyFill="1" applyBorder="1" applyAlignment="1">
      <alignment horizontal="left"/>
    </xf>
    <xf numFmtId="166" fontId="0" fillId="5" borderId="66" xfId="1" applyNumberFormat="1" applyFont="1" applyFill="1" applyBorder="1" applyAlignment="1">
      <alignment horizontal="left"/>
    </xf>
    <xf numFmtId="0" fontId="0" fillId="5" borderId="19" xfId="0" applyFont="1" applyFill="1" applyBorder="1" applyAlignment="1"/>
    <xf numFmtId="0" fontId="0" fillId="5" borderId="129" xfId="0" applyFont="1" applyFill="1" applyBorder="1" applyAlignment="1">
      <alignment horizontal="left" vertical="center"/>
    </xf>
    <xf numFmtId="0" fontId="103" fillId="5" borderId="107" xfId="0" applyNumberFormat="1" applyFont="1" applyFill="1" applyBorder="1" applyAlignment="1" applyProtection="1">
      <alignment horizontal="left" wrapText="1"/>
    </xf>
    <xf numFmtId="166" fontId="0" fillId="5" borderId="114" xfId="0" applyNumberFormat="1" applyFont="1" applyFill="1" applyBorder="1" applyAlignment="1">
      <alignment horizontal="left"/>
    </xf>
    <xf numFmtId="166" fontId="0" fillId="5" borderId="106" xfId="1" applyNumberFormat="1" applyFont="1" applyFill="1" applyBorder="1" applyAlignment="1">
      <alignment horizontal="left"/>
    </xf>
    <xf numFmtId="1" fontId="0" fillId="71" borderId="96" xfId="0" applyNumberFormat="1" applyFont="1" applyFill="1" applyBorder="1" applyAlignment="1">
      <alignment horizontal="left" vertical="center"/>
    </xf>
    <xf numFmtId="2" fontId="0" fillId="71" borderId="96" xfId="0" applyNumberFormat="1" applyFont="1" applyFill="1" applyBorder="1" applyAlignment="1">
      <alignment horizontal="left" vertical="center"/>
    </xf>
    <xf numFmtId="166" fontId="0" fillId="71" borderId="96" xfId="0" applyNumberFormat="1" applyFont="1" applyFill="1" applyBorder="1" applyAlignment="1">
      <alignment horizontal="left" vertical="center"/>
    </xf>
    <xf numFmtId="7" fontId="0" fillId="71" borderId="96" xfId="1" applyNumberFormat="1" applyFont="1" applyFill="1" applyBorder="1" applyAlignment="1">
      <alignment horizontal="left"/>
    </xf>
    <xf numFmtId="7" fontId="0" fillId="71" borderId="8" xfId="1" applyNumberFormat="1" applyFont="1" applyFill="1" applyBorder="1" applyAlignment="1">
      <alignment horizontal="left"/>
    </xf>
    <xf numFmtId="166" fontId="0" fillId="71" borderId="96" xfId="0" applyNumberFormat="1" applyFont="1" applyFill="1" applyBorder="1" applyAlignment="1">
      <alignment horizontal="left"/>
    </xf>
    <xf numFmtId="166" fontId="0" fillId="71" borderId="15" xfId="0" applyNumberFormat="1" applyFont="1" applyFill="1" applyBorder="1" applyAlignment="1">
      <alignment horizontal="left"/>
    </xf>
    <xf numFmtId="166" fontId="0" fillId="0" borderId="1" xfId="3" applyNumberFormat="1" applyFont="1" applyBorder="1" applyAlignment="1">
      <alignment horizontal="left"/>
    </xf>
    <xf numFmtId="166" fontId="0" fillId="0" borderId="37" xfId="3" applyNumberFormat="1" applyFont="1" applyBorder="1" applyAlignment="1">
      <alignment horizontal="left"/>
    </xf>
    <xf numFmtId="0" fontId="0" fillId="0" borderId="9" xfId="0" applyFont="1" applyFill="1" applyBorder="1" applyAlignment="1">
      <alignment horizontal="left"/>
    </xf>
    <xf numFmtId="165" fontId="0" fillId="0" borderId="7" xfId="0" applyNumberFormat="1" applyFont="1" applyBorder="1" applyAlignment="1">
      <alignment horizontal="left"/>
    </xf>
    <xf numFmtId="7" fontId="0" fillId="0" borderId="48" xfId="1" applyNumberFormat="1" applyFont="1" applyBorder="1" applyAlignment="1">
      <alignment horizontal="left"/>
    </xf>
    <xf numFmtId="7" fontId="0" fillId="0" borderId="78" xfId="1" applyNumberFormat="1" applyFont="1" applyBorder="1" applyAlignment="1">
      <alignment horizontal="left"/>
    </xf>
    <xf numFmtId="169" fontId="0" fillId="5" borderId="44" xfId="0" applyNumberFormat="1" applyFont="1" applyFill="1" applyBorder="1" applyAlignment="1">
      <alignment horizontal="left"/>
    </xf>
    <xf numFmtId="169" fontId="0" fillId="5" borderId="18" xfId="0" applyNumberFormat="1" applyFont="1" applyFill="1" applyBorder="1" applyAlignment="1">
      <alignment horizontal="left"/>
    </xf>
    <xf numFmtId="0" fontId="0" fillId="0" borderId="37" xfId="0" applyFont="1" applyFill="1" applyBorder="1" applyAlignment="1">
      <alignment horizontal="left"/>
    </xf>
    <xf numFmtId="165" fontId="0" fillId="0" borderId="34" xfId="0" applyNumberFormat="1" applyFont="1" applyBorder="1" applyAlignment="1">
      <alignment horizontal="left"/>
    </xf>
    <xf numFmtId="7" fontId="0" fillId="0" borderId="1" xfId="1" applyNumberFormat="1" applyFont="1" applyBorder="1" applyAlignment="1">
      <alignment horizontal="left"/>
    </xf>
    <xf numFmtId="0" fontId="0" fillId="71" borderId="8" xfId="0" applyFont="1" applyFill="1" applyBorder="1" applyAlignment="1"/>
    <xf numFmtId="165" fontId="0" fillId="6" borderId="74" xfId="0" applyNumberFormat="1" applyFont="1" applyFill="1" applyBorder="1" applyAlignment="1"/>
    <xf numFmtId="0" fontId="0" fillId="5" borderId="35" xfId="0" applyFill="1" applyBorder="1" applyAlignment="1">
      <alignment vertical="center"/>
    </xf>
    <xf numFmtId="0" fontId="0" fillId="0" borderId="111" xfId="0" applyFont="1" applyBorder="1" applyAlignment="1">
      <alignment horizontal="left" vertical="center"/>
    </xf>
    <xf numFmtId="165" fontId="0" fillId="0" borderId="130" xfId="0" applyNumberFormat="1" applyFont="1" applyBorder="1" applyAlignment="1">
      <alignment horizontal="left"/>
    </xf>
    <xf numFmtId="165" fontId="0" fillId="0" borderId="131" xfId="0" applyNumberFormat="1" applyFont="1" applyBorder="1" applyAlignment="1">
      <alignment horizontal="left"/>
    </xf>
    <xf numFmtId="2" fontId="16" fillId="10" borderId="132" xfId="0" applyNumberFormat="1" applyFont="1" applyFill="1" applyBorder="1" applyAlignment="1" applyProtection="1">
      <alignment horizontal="left" wrapText="1"/>
    </xf>
    <xf numFmtId="0" fontId="16" fillId="10" borderId="132" xfId="0" applyNumberFormat="1" applyFont="1" applyFill="1" applyBorder="1" applyAlignment="1" applyProtection="1">
      <alignment horizontal="left" wrapText="1"/>
    </xf>
    <xf numFmtId="9" fontId="16" fillId="0" borderId="37" xfId="2106" applyFont="1" applyFill="1" applyBorder="1" applyAlignment="1" applyProtection="1">
      <alignment horizontal="left" wrapText="1"/>
    </xf>
    <xf numFmtId="16" fontId="16" fillId="10" borderId="1" xfId="0" quotePrefix="1" applyNumberFormat="1" applyFont="1" applyFill="1" applyBorder="1" applyAlignment="1" applyProtection="1">
      <alignment horizontal="left" wrapText="1"/>
    </xf>
    <xf numFmtId="2" fontId="0" fillId="0" borderId="1" xfId="0" applyNumberFormat="1" applyFont="1" applyFill="1" applyBorder="1" applyAlignment="1">
      <alignment horizontal="left"/>
    </xf>
    <xf numFmtId="0" fontId="0" fillId="5" borderId="133" xfId="0" applyFont="1" applyFill="1" applyBorder="1" applyAlignment="1"/>
    <xf numFmtId="0" fontId="0" fillId="5" borderId="134" xfId="0" applyFont="1" applyFill="1" applyBorder="1" applyAlignment="1"/>
    <xf numFmtId="0" fontId="0" fillId="5" borderId="135" xfId="0" applyFont="1" applyFill="1" applyBorder="1" applyAlignment="1"/>
    <xf numFmtId="0" fontId="0" fillId="6" borderId="37" xfId="0" applyFont="1" applyFill="1" applyBorder="1" applyAlignment="1">
      <alignment horizontal="left" vertical="center"/>
    </xf>
    <xf numFmtId="166" fontId="0" fillId="0" borderId="37" xfId="0" applyNumberFormat="1" applyFont="1" applyBorder="1" applyAlignment="1">
      <alignment horizontal="left" vertical="center"/>
    </xf>
    <xf numFmtId="166" fontId="0" fillId="71" borderId="8" xfId="0" applyNumberFormat="1" applyFont="1" applyFill="1" applyBorder="1" applyAlignment="1">
      <alignment horizontal="left" vertical="center"/>
    </xf>
    <xf numFmtId="0" fontId="0" fillId="5" borderId="66" xfId="0" applyFont="1" applyFill="1" applyBorder="1" applyAlignment="1">
      <alignment vertical="center"/>
    </xf>
    <xf numFmtId="0" fontId="0" fillId="0" borderId="34" xfId="0" applyFont="1" applyBorder="1" applyAlignment="1">
      <alignment vertical="center"/>
    </xf>
    <xf numFmtId="0" fontId="0" fillId="5" borderId="92" xfId="0" applyFont="1" applyFill="1" applyBorder="1" applyAlignment="1">
      <alignment horizontal="left" vertical="center"/>
    </xf>
    <xf numFmtId="165" fontId="0" fillId="0" borderId="37" xfId="0" applyNumberFormat="1" applyFont="1" applyFill="1" applyBorder="1" applyAlignment="1">
      <alignment horizontal="left" vertical="center"/>
    </xf>
    <xf numFmtId="169" fontId="0" fillId="0" borderId="37" xfId="0" applyNumberFormat="1" applyFont="1" applyBorder="1" applyAlignment="1">
      <alignment horizontal="left" vertical="center"/>
    </xf>
    <xf numFmtId="0" fontId="0" fillId="5" borderId="12" xfId="0" applyFont="1" applyFill="1" applyBorder="1"/>
    <xf numFmtId="2" fontId="0" fillId="6" borderId="37" xfId="0" applyNumberFormat="1" applyFont="1" applyFill="1" applyBorder="1" applyAlignment="1"/>
    <xf numFmtId="2" fontId="0" fillId="6" borderId="35" xfId="0" applyNumberFormat="1" applyFont="1" applyFill="1" applyBorder="1" applyAlignment="1"/>
    <xf numFmtId="169" fontId="0" fillId="0" borderId="33" xfId="0" applyNumberFormat="1" applyFont="1" applyBorder="1" applyAlignment="1">
      <alignment horizontal="left"/>
    </xf>
    <xf numFmtId="169" fontId="0" fillId="0" borderId="35" xfId="0" applyNumberFormat="1" applyFont="1" applyBorder="1" applyAlignment="1">
      <alignment horizontal="left"/>
    </xf>
    <xf numFmtId="164" fontId="0" fillId="0" borderId="37" xfId="0" applyNumberFormat="1" applyFont="1" applyBorder="1" applyAlignment="1">
      <alignment horizontal="left"/>
    </xf>
    <xf numFmtId="0" fontId="0" fillId="5" borderId="62" xfId="0" applyFont="1" applyFill="1" applyBorder="1"/>
    <xf numFmtId="0" fontId="0" fillId="5" borderId="62" xfId="0" applyFont="1" applyFill="1" applyBorder="1" applyAlignment="1">
      <alignment horizontal="left" vertical="center"/>
    </xf>
    <xf numFmtId="0" fontId="0" fillId="5" borderId="80" xfId="0" applyFont="1" applyFill="1" applyBorder="1" applyAlignment="1">
      <alignment vertical="center"/>
    </xf>
    <xf numFmtId="0" fontId="0" fillId="5" borderId="63" xfId="0" applyFont="1" applyFill="1" applyBorder="1" applyAlignment="1">
      <alignment horizontal="left" vertical="center"/>
    </xf>
    <xf numFmtId="2" fontId="0" fillId="5" borderId="62" xfId="0" applyNumberFormat="1" applyFont="1" applyFill="1" applyBorder="1" applyAlignment="1">
      <alignment horizontal="left" vertical="center"/>
    </xf>
    <xf numFmtId="2" fontId="0" fillId="5" borderId="80" xfId="0" applyNumberFormat="1" applyFont="1" applyFill="1" applyBorder="1" applyAlignment="1">
      <alignment horizontal="left" vertical="center"/>
    </xf>
    <xf numFmtId="2" fontId="0" fillId="5" borderId="0" xfId="0" applyNumberFormat="1" applyFont="1" applyFill="1" applyBorder="1" applyAlignment="1">
      <alignment horizontal="left" vertical="center"/>
    </xf>
    <xf numFmtId="166" fontId="0" fillId="5" borderId="80" xfId="0" applyNumberFormat="1" applyFont="1" applyFill="1" applyBorder="1" applyAlignment="1">
      <alignment horizontal="left" vertical="center"/>
    </xf>
    <xf numFmtId="0" fontId="0" fillId="5" borderId="60" xfId="0" applyFont="1" applyFill="1" applyBorder="1" applyAlignment="1">
      <alignment horizontal="left" vertical="center"/>
    </xf>
    <xf numFmtId="0" fontId="0" fillId="5" borderId="114" xfId="0" applyFont="1" applyFill="1" applyBorder="1" applyAlignment="1">
      <alignment vertical="center"/>
    </xf>
    <xf numFmtId="2" fontId="0" fillId="5" borderId="60" xfId="0" applyNumberFormat="1" applyFont="1" applyFill="1" applyBorder="1" applyAlignment="1">
      <alignment horizontal="left" vertical="center"/>
    </xf>
    <xf numFmtId="0" fontId="16" fillId="0" borderId="76" xfId="0" applyNumberFormat="1" applyFont="1" applyFill="1" applyBorder="1" applyAlignment="1" applyProtection="1">
      <alignment horizontal="left" wrapText="1"/>
    </xf>
    <xf numFmtId="9" fontId="0" fillId="0" borderId="37" xfId="2106" applyFont="1" applyBorder="1" applyAlignment="1">
      <alignment horizontal="left"/>
    </xf>
    <xf numFmtId="9" fontId="0" fillId="71" borderId="13" xfId="2106" applyFont="1" applyFill="1" applyBorder="1" applyAlignment="1">
      <alignment horizontal="left"/>
    </xf>
    <xf numFmtId="166" fontId="0" fillId="5" borderId="0" xfId="0" applyNumberFormat="1" applyFont="1" applyFill="1" applyBorder="1" applyAlignment="1">
      <alignment horizontal="left" vertical="center"/>
    </xf>
    <xf numFmtId="0" fontId="0" fillId="5" borderId="60" xfId="0" applyFont="1" applyFill="1" applyBorder="1"/>
    <xf numFmtId="165" fontId="0" fillId="0" borderId="1" xfId="0" applyNumberFormat="1" applyFont="1" applyFill="1" applyBorder="1" applyAlignment="1">
      <alignment vertical="center"/>
    </xf>
    <xf numFmtId="169" fontId="0" fillId="0" borderId="33" xfId="0" applyNumberFormat="1" applyFont="1" applyFill="1" applyBorder="1" applyAlignment="1">
      <alignment horizontal="left"/>
    </xf>
    <xf numFmtId="166" fontId="0" fillId="0" borderId="33" xfId="0" applyNumberFormat="1" applyFont="1" applyFill="1" applyBorder="1" applyAlignment="1">
      <alignment horizontal="left"/>
    </xf>
    <xf numFmtId="169" fontId="0" fillId="0" borderId="35" xfId="0" applyNumberFormat="1" applyFont="1" applyBorder="1" applyAlignment="1">
      <alignment horizontal="left" vertical="center"/>
    </xf>
    <xf numFmtId="0" fontId="0" fillId="81" borderId="62" xfId="0" applyFont="1" applyFill="1" applyBorder="1" applyAlignment="1"/>
    <xf numFmtId="0" fontId="0" fillId="81" borderId="80" xfId="0" applyFont="1" applyFill="1" applyBorder="1" applyAlignment="1"/>
    <xf numFmtId="169" fontId="0" fillId="81" borderId="80" xfId="0" applyNumberFormat="1" applyFont="1" applyFill="1" applyBorder="1" applyAlignment="1">
      <alignment horizontal="left"/>
    </xf>
    <xf numFmtId="169" fontId="0" fillId="81" borderId="0" xfId="0" applyNumberFormat="1" applyFont="1" applyFill="1" applyBorder="1" applyAlignment="1">
      <alignment horizontal="left"/>
    </xf>
    <xf numFmtId="0" fontId="0" fillId="81" borderId="35" xfId="0" applyFont="1" applyFill="1" applyBorder="1" applyAlignment="1">
      <alignment vertical="center" wrapText="1"/>
    </xf>
    <xf numFmtId="0" fontId="0" fillId="81" borderId="66" xfId="0" applyFont="1" applyFill="1" applyBorder="1" applyAlignment="1"/>
    <xf numFmtId="0" fontId="0" fillId="81" borderId="63" xfId="0" applyFont="1" applyFill="1" applyBorder="1"/>
    <xf numFmtId="0" fontId="0" fillId="81" borderId="0" xfId="0" applyFont="1" applyFill="1" applyBorder="1"/>
    <xf numFmtId="2" fontId="0" fillId="81" borderId="0" xfId="0" applyNumberFormat="1" applyFont="1" applyFill="1" applyBorder="1" applyAlignment="1">
      <alignment horizontal="left"/>
    </xf>
    <xf numFmtId="0" fontId="0" fillId="5" borderId="13" xfId="0" applyFont="1" applyFill="1" applyBorder="1" applyAlignment="1">
      <alignment vertical="center" wrapText="1"/>
    </xf>
    <xf numFmtId="166" fontId="0" fillId="5" borderId="0" xfId="0" applyNumberFormat="1" applyFont="1" applyFill="1" applyBorder="1" applyAlignment="1">
      <alignment horizontal="left"/>
    </xf>
    <xf numFmtId="0" fontId="0" fillId="0" borderId="35" xfId="0" applyFont="1" applyBorder="1" applyAlignment="1">
      <alignment horizontal="left" vertical="center"/>
    </xf>
    <xf numFmtId="0" fontId="0" fillId="5" borderId="35" xfId="0" applyFont="1" applyFill="1" applyBorder="1" applyAlignment="1">
      <alignment horizontal="left" vertical="center"/>
    </xf>
    <xf numFmtId="166" fontId="0" fillId="0" borderId="35" xfId="0" applyNumberFormat="1" applyFont="1" applyBorder="1" applyAlignment="1">
      <alignment horizontal="left" vertical="center" wrapText="1"/>
    </xf>
    <xf numFmtId="0" fontId="0" fillId="5" borderId="81" xfId="0" applyFont="1" applyFill="1" applyBorder="1" applyAlignment="1">
      <alignment horizontal="left" vertical="center"/>
    </xf>
    <xf numFmtId="0" fontId="0" fillId="0" borderId="1" xfId="0" applyFont="1" applyFill="1" applyBorder="1" applyAlignment="1">
      <alignment horizontal="left" vertical="center" wrapText="1"/>
    </xf>
    <xf numFmtId="166" fontId="0" fillId="0" borderId="37" xfId="0" applyNumberFormat="1" applyFont="1" applyFill="1" applyBorder="1" applyAlignment="1">
      <alignment horizontal="left" vertical="center" wrapText="1"/>
    </xf>
    <xf numFmtId="9" fontId="16" fillId="10" borderId="79" xfId="2106" applyFont="1" applyFill="1" applyBorder="1" applyAlignment="1" applyProtection="1">
      <alignment horizontal="left" wrapText="1"/>
    </xf>
    <xf numFmtId="0" fontId="0" fillId="5" borderId="9" xfId="0" applyFont="1" applyFill="1" applyBorder="1" applyAlignment="1"/>
    <xf numFmtId="0" fontId="0" fillId="5" borderId="7" xfId="0" applyFont="1" applyFill="1" applyBorder="1" applyAlignment="1"/>
    <xf numFmtId="0" fontId="0" fillId="5" borderId="11" xfId="0" applyFont="1" applyFill="1" applyBorder="1" applyAlignment="1"/>
    <xf numFmtId="0" fontId="0" fillId="5" borderId="85" xfId="0" applyFont="1" applyFill="1" applyBorder="1" applyAlignment="1"/>
    <xf numFmtId="169" fontId="0" fillId="5" borderId="7" xfId="0" applyNumberFormat="1" applyFont="1" applyFill="1" applyBorder="1" applyAlignment="1">
      <alignment horizontal="left"/>
    </xf>
    <xf numFmtId="0" fontId="0" fillId="71" borderId="107" xfId="0" applyFont="1" applyFill="1" applyBorder="1" applyAlignment="1">
      <alignment horizontal="left"/>
    </xf>
    <xf numFmtId="0" fontId="0" fillId="71" borderId="22" xfId="0" applyFont="1" applyFill="1" applyBorder="1" applyAlignment="1"/>
    <xf numFmtId="0" fontId="0" fillId="71" borderId="114" xfId="0" applyFont="1" applyFill="1" applyBorder="1" applyAlignment="1"/>
    <xf numFmtId="0" fontId="0" fillId="71" borderId="20" xfId="0" applyFont="1" applyFill="1" applyBorder="1" applyAlignment="1"/>
    <xf numFmtId="169" fontId="0" fillId="6" borderId="3" xfId="1" applyNumberFormat="1" applyFont="1" applyFill="1" applyBorder="1" applyAlignment="1">
      <alignment horizontal="left"/>
    </xf>
    <xf numFmtId="169" fontId="0" fillId="0" borderId="3" xfId="0" applyNumberFormat="1" applyFont="1" applyFill="1" applyBorder="1" applyAlignment="1">
      <alignment horizontal="left"/>
    </xf>
    <xf numFmtId="165" fontId="0" fillId="6" borderId="37" xfId="3" applyNumberFormat="1" applyFont="1" applyFill="1" applyBorder="1" applyAlignment="1"/>
    <xf numFmtId="165" fontId="0" fillId="6" borderId="35" xfId="3" applyNumberFormat="1" applyFont="1" applyFill="1" applyBorder="1" applyAlignment="1"/>
    <xf numFmtId="9" fontId="16" fillId="10" borderId="138" xfId="2106" applyFont="1" applyFill="1" applyBorder="1" applyAlignment="1" applyProtection="1">
      <alignment horizontal="left" wrapText="1"/>
    </xf>
    <xf numFmtId="2" fontId="0" fillId="6" borderId="1" xfId="3" applyNumberFormat="1" applyFont="1" applyFill="1" applyBorder="1" applyAlignment="1">
      <alignment horizontal="left" vertical="center"/>
    </xf>
    <xf numFmtId="165" fontId="0" fillId="0" borderId="1" xfId="0" applyNumberFormat="1" applyFont="1" applyBorder="1" applyAlignment="1">
      <alignment horizontal="left" vertical="center"/>
    </xf>
    <xf numFmtId="166" fontId="0" fillId="0" borderId="1" xfId="0" applyNumberFormat="1" applyBorder="1" applyAlignment="1">
      <alignment horizontal="left" vertical="center"/>
    </xf>
    <xf numFmtId="0" fontId="0" fillId="0" borderId="1" xfId="0" applyBorder="1" applyAlignment="1">
      <alignment horizontal="left" vertical="center"/>
    </xf>
    <xf numFmtId="0" fontId="0" fillId="5" borderId="44" xfId="0" applyFont="1" applyFill="1" applyBorder="1" applyAlignment="1"/>
    <xf numFmtId="0" fontId="0" fillId="5" borderId="18" xfId="0" applyFont="1" applyFill="1" applyBorder="1" applyAlignment="1"/>
    <xf numFmtId="166" fontId="0" fillId="0" borderId="37" xfId="0" applyNumberFormat="1" applyFont="1" applyBorder="1" applyAlignment="1">
      <alignment horizontal="left"/>
    </xf>
    <xf numFmtId="166" fontId="0" fillId="71" borderId="8" xfId="0" applyNumberFormat="1" applyFont="1" applyFill="1" applyBorder="1" applyAlignment="1">
      <alignment horizontal="left"/>
    </xf>
    <xf numFmtId="169" fontId="0" fillId="0" borderId="1" xfId="0" applyNumberFormat="1" applyBorder="1" applyAlignment="1">
      <alignment horizontal="left" vertical="center"/>
    </xf>
    <xf numFmtId="169" fontId="0" fillId="71" borderId="8" xfId="0" applyNumberFormat="1" applyFill="1" applyBorder="1" applyAlignment="1">
      <alignment horizontal="left" vertical="center"/>
    </xf>
    <xf numFmtId="0" fontId="0" fillId="0" borderId="36" xfId="0" applyFont="1" applyFill="1" applyBorder="1" applyAlignment="1">
      <alignment horizontal="left" vertical="center"/>
    </xf>
    <xf numFmtId="0" fontId="0" fillId="0" borderId="36" xfId="0" applyFont="1" applyFill="1" applyBorder="1" applyAlignment="1">
      <alignment horizontal="left"/>
    </xf>
    <xf numFmtId="0" fontId="0" fillId="5" borderId="107" xfId="0" applyFont="1" applyFill="1" applyBorder="1" applyAlignment="1">
      <alignment horizontal="left"/>
    </xf>
    <xf numFmtId="0" fontId="0" fillId="0" borderId="120" xfId="0" applyFont="1" applyBorder="1" applyAlignment="1">
      <alignment vertical="center"/>
    </xf>
    <xf numFmtId="0" fontId="16" fillId="10" borderId="1" xfId="0" applyNumberFormat="1" applyFont="1" applyFill="1" applyBorder="1" applyAlignment="1" applyProtection="1">
      <alignment horizontal="left" vertical="center" wrapText="1"/>
    </xf>
    <xf numFmtId="0" fontId="0" fillId="0" borderId="23" xfId="0" applyFont="1" applyBorder="1" applyAlignment="1">
      <alignment horizontal="left" vertical="center"/>
    </xf>
    <xf numFmtId="0" fontId="0" fillId="0" borderId="34" xfId="0" applyFont="1" applyFill="1" applyBorder="1" applyAlignment="1">
      <alignment horizontal="left" vertical="center"/>
    </xf>
    <xf numFmtId="0" fontId="0" fillId="5" borderId="60" xfId="0" applyFont="1" applyFill="1" applyBorder="1" applyAlignment="1"/>
    <xf numFmtId="0" fontId="0" fillId="0" borderId="71" xfId="0" applyFont="1" applyBorder="1" applyAlignment="1">
      <alignment horizontal="left"/>
    </xf>
    <xf numFmtId="16" fontId="0" fillId="0" borderId="37" xfId="0" quotePrefix="1" applyNumberFormat="1" applyBorder="1" applyAlignment="1"/>
    <xf numFmtId="0" fontId="0" fillId="5" borderId="71" xfId="0" applyFont="1" applyFill="1" applyBorder="1" applyAlignment="1"/>
    <xf numFmtId="166" fontId="0" fillId="0" borderId="1" xfId="0" applyNumberFormat="1" applyBorder="1" applyAlignment="1">
      <alignment horizontal="left"/>
    </xf>
    <xf numFmtId="1" fontId="0" fillId="6" borderId="1" xfId="3" applyNumberFormat="1" applyFont="1" applyFill="1" applyBorder="1" applyAlignment="1">
      <alignment horizontal="left" vertical="center"/>
    </xf>
    <xf numFmtId="0" fontId="0" fillId="0" borderId="37" xfId="0" applyBorder="1" applyAlignment="1"/>
    <xf numFmtId="0" fontId="0" fillId="5" borderId="66" xfId="0" applyFont="1" applyFill="1" applyBorder="1" applyAlignment="1">
      <alignment horizontal="left"/>
    </xf>
    <xf numFmtId="0" fontId="0" fillId="5" borderId="12" xfId="0" applyFont="1" applyFill="1" applyBorder="1" applyAlignment="1">
      <alignment horizontal="left"/>
    </xf>
    <xf numFmtId="0" fontId="16" fillId="10" borderId="37" xfId="0" applyNumberFormat="1" applyFont="1" applyFill="1" applyBorder="1" applyAlignment="1" applyProtection="1">
      <alignment horizontal="left" wrapText="1"/>
    </xf>
    <xf numFmtId="0" fontId="16" fillId="71" borderId="13" xfId="0" applyNumberFormat="1" applyFont="1" applyFill="1" applyBorder="1" applyAlignment="1" applyProtection="1">
      <alignment horizontal="left" wrapText="1"/>
    </xf>
    <xf numFmtId="0" fontId="64" fillId="0" borderId="37" xfId="0" applyFont="1" applyBorder="1" applyAlignment="1"/>
    <xf numFmtId="0" fontId="0" fillId="0" borderId="113" xfId="0" applyFont="1" applyBorder="1" applyAlignment="1"/>
    <xf numFmtId="0" fontId="0" fillId="0" borderId="66" xfId="0" applyFont="1" applyBorder="1" applyAlignment="1">
      <alignment horizontal="left"/>
    </xf>
    <xf numFmtId="0" fontId="64" fillId="0" borderId="81" xfId="0" applyFont="1" applyBorder="1" applyAlignment="1">
      <alignment horizontal="left"/>
    </xf>
    <xf numFmtId="0" fontId="64" fillId="0" borderId="35" xfId="0" applyFont="1" applyBorder="1" applyAlignment="1"/>
    <xf numFmtId="0" fontId="0" fillId="5" borderId="119" xfId="0" applyFont="1" applyFill="1" applyBorder="1" applyAlignment="1"/>
    <xf numFmtId="0" fontId="0" fillId="5" borderId="139" xfId="0" applyFont="1" applyFill="1" applyBorder="1" applyAlignment="1">
      <alignment horizontal="left"/>
    </xf>
    <xf numFmtId="0" fontId="64" fillId="5" borderId="127" xfId="0" applyFont="1" applyFill="1" applyBorder="1" applyAlignment="1">
      <alignment horizontal="left"/>
    </xf>
    <xf numFmtId="0" fontId="64" fillId="5" borderId="126" xfId="0" applyFont="1" applyFill="1" applyBorder="1" applyAlignment="1"/>
    <xf numFmtId="0" fontId="0" fillId="5" borderId="106" xfId="0" applyFont="1" applyFill="1" applyBorder="1" applyAlignment="1"/>
    <xf numFmtId="0" fontId="0" fillId="5" borderId="106" xfId="0" applyFont="1" applyFill="1" applyBorder="1" applyAlignment="1">
      <alignment horizontal="left"/>
    </xf>
    <xf numFmtId="2" fontId="16" fillId="10" borderId="140" xfId="0" applyNumberFormat="1" applyFont="1" applyFill="1" applyBorder="1" applyAlignment="1" applyProtection="1">
      <alignment horizontal="left" wrapText="1"/>
    </xf>
    <xf numFmtId="165" fontId="0" fillId="0" borderId="141" xfId="0" applyNumberFormat="1" applyFont="1" applyBorder="1" applyAlignment="1">
      <alignment horizontal="left" vertical="center"/>
    </xf>
    <xf numFmtId="166" fontId="0" fillId="0" borderId="3" xfId="0" applyNumberFormat="1" applyBorder="1" applyAlignment="1">
      <alignment horizontal="left"/>
    </xf>
    <xf numFmtId="169" fontId="0" fillId="0" borderId="3" xfId="0" applyNumberFormat="1" applyBorder="1" applyAlignment="1">
      <alignment horizontal="left"/>
    </xf>
    <xf numFmtId="169" fontId="0" fillId="0" borderId="72" xfId="0" applyNumberFormat="1" applyFont="1" applyBorder="1" applyAlignment="1">
      <alignment horizontal="left"/>
    </xf>
    <xf numFmtId="0" fontId="0" fillId="0" borderId="37" xfId="0" applyBorder="1" applyAlignment="1">
      <alignment horizontal="left" vertical="center" wrapText="1"/>
    </xf>
    <xf numFmtId="166" fontId="0" fillId="0" borderId="3" xfId="0" applyNumberFormat="1" applyBorder="1" applyAlignment="1">
      <alignment horizontal="left" vertical="center"/>
    </xf>
    <xf numFmtId="0" fontId="0" fillId="5" borderId="13" xfId="0" applyFont="1" applyFill="1" applyBorder="1" applyAlignment="1">
      <alignment horizontal="left" vertical="center"/>
    </xf>
    <xf numFmtId="0" fontId="0" fillId="0" borderId="23" xfId="0" applyFont="1" applyFill="1" applyBorder="1" applyAlignment="1">
      <alignment horizontal="left" vertical="center"/>
    </xf>
    <xf numFmtId="0" fontId="0" fillId="71" borderId="42" xfId="0" applyFont="1" applyFill="1" applyBorder="1" applyAlignment="1">
      <alignment horizontal="left" vertical="center"/>
    </xf>
    <xf numFmtId="0" fontId="0" fillId="0" borderId="0" xfId="0" applyFont="1" applyAlignment="1">
      <alignment horizontal="left" vertical="center"/>
    </xf>
    <xf numFmtId="0" fontId="0" fillId="0" borderId="0" xfId="0" applyFont="1" applyBorder="1" applyAlignment="1">
      <alignment horizontal="left" vertical="center"/>
    </xf>
    <xf numFmtId="0" fontId="0" fillId="0" borderId="19" xfId="0" applyFont="1" applyBorder="1" applyAlignment="1">
      <alignment horizontal="left" vertical="center"/>
    </xf>
    <xf numFmtId="0" fontId="0" fillId="5" borderId="34" xfId="0" applyFont="1" applyFill="1" applyBorder="1" applyAlignment="1">
      <alignment horizontal="left"/>
    </xf>
    <xf numFmtId="169" fontId="0" fillId="5" borderId="0" xfId="0" applyNumberFormat="1" applyFill="1" applyBorder="1" applyAlignment="1">
      <alignment horizontal="left" vertical="center"/>
    </xf>
    <xf numFmtId="0" fontId="0" fillId="5" borderId="34" xfId="0" applyFont="1" applyFill="1" applyBorder="1" applyAlignment="1"/>
    <xf numFmtId="2" fontId="0" fillId="5" borderId="23" xfId="0" applyNumberFormat="1" applyFont="1" applyFill="1" applyBorder="1" applyAlignment="1"/>
    <xf numFmtId="2" fontId="0" fillId="5" borderId="1" xfId="0" applyNumberFormat="1" applyFont="1" applyFill="1" applyBorder="1" applyAlignment="1"/>
    <xf numFmtId="0" fontId="64" fillId="5" borderId="63" xfId="0" applyFont="1" applyFill="1" applyBorder="1" applyAlignment="1">
      <alignment horizontal="left"/>
    </xf>
    <xf numFmtId="0" fontId="64" fillId="5" borderId="0" xfId="0" applyFont="1" applyFill="1" applyBorder="1" applyAlignment="1"/>
    <xf numFmtId="165" fontId="0" fillId="5" borderId="12" xfId="0" applyNumberFormat="1" applyFont="1" applyFill="1" applyBorder="1" applyAlignment="1">
      <alignment horizontal="left"/>
    </xf>
    <xf numFmtId="0" fontId="64" fillId="5" borderId="60" xfId="0" applyFont="1" applyFill="1" applyBorder="1" applyAlignment="1">
      <alignment horizontal="left"/>
    </xf>
    <xf numFmtId="2" fontId="0" fillId="5" borderId="60" xfId="0" applyNumberFormat="1" applyFont="1" applyFill="1" applyBorder="1" applyAlignment="1"/>
    <xf numFmtId="2" fontId="0" fillId="5" borderId="114" xfId="0" applyNumberFormat="1" applyFont="1" applyFill="1" applyBorder="1" applyAlignment="1"/>
    <xf numFmtId="165" fontId="0" fillId="5" borderId="114" xfId="0" applyNumberFormat="1" applyFont="1" applyFill="1" applyBorder="1" applyAlignment="1">
      <alignment horizontal="left"/>
    </xf>
    <xf numFmtId="165" fontId="0" fillId="5" borderId="106" xfId="0" applyNumberFormat="1" applyFont="1" applyFill="1" applyBorder="1" applyAlignment="1">
      <alignment horizontal="left"/>
    </xf>
    <xf numFmtId="166" fontId="0" fillId="0" borderId="79" xfId="0" applyNumberFormat="1" applyFont="1" applyBorder="1" applyAlignment="1">
      <alignment horizontal="left"/>
    </xf>
    <xf numFmtId="0" fontId="0" fillId="5" borderId="78" xfId="0" applyFont="1" applyFill="1" applyBorder="1" applyAlignment="1"/>
    <xf numFmtId="0" fontId="64" fillId="0" borderId="3" xfId="0" applyFont="1" applyBorder="1" applyAlignment="1"/>
    <xf numFmtId="0" fontId="0" fillId="5" borderId="3" xfId="0" applyFont="1" applyFill="1" applyBorder="1" applyAlignment="1"/>
    <xf numFmtId="0" fontId="64" fillId="0" borderId="1" xfId="0" applyFont="1" applyBorder="1" applyAlignment="1"/>
    <xf numFmtId="0" fontId="16" fillId="0" borderId="1" xfId="0" applyFont="1" applyBorder="1" applyAlignment="1"/>
    <xf numFmtId="165" fontId="0" fillId="0" borderId="33" xfId="0" applyNumberFormat="1" applyFont="1" applyBorder="1" applyAlignment="1">
      <alignment horizontal="left"/>
    </xf>
    <xf numFmtId="0" fontId="0" fillId="5" borderId="142" xfId="0" applyFont="1" applyFill="1" applyBorder="1" applyAlignment="1">
      <alignment horizontal="left"/>
    </xf>
    <xf numFmtId="2" fontId="0" fillId="5" borderId="62" xfId="0" applyNumberFormat="1" applyFont="1" applyFill="1" applyBorder="1" applyAlignment="1"/>
    <xf numFmtId="2" fontId="0" fillId="5" borderId="80" xfId="0" applyNumberFormat="1" applyFont="1" applyFill="1" applyBorder="1" applyAlignment="1"/>
    <xf numFmtId="165" fontId="0" fillId="5" borderId="66" xfId="0" applyNumberFormat="1" applyFont="1" applyFill="1" applyBorder="1" applyAlignment="1">
      <alignment horizontal="left"/>
    </xf>
    <xf numFmtId="0" fontId="0" fillId="5" borderId="128" xfId="0" applyFont="1" applyFill="1" applyBorder="1" applyAlignment="1">
      <alignment horizontal="left"/>
    </xf>
    <xf numFmtId="0" fontId="16" fillId="5" borderId="0" xfId="0" applyNumberFormat="1" applyFont="1" applyFill="1" applyBorder="1" applyAlignment="1" applyProtection="1">
      <alignment horizontal="left" wrapText="1"/>
    </xf>
    <xf numFmtId="9" fontId="16" fillId="5" borderId="0" xfId="2106" applyFont="1" applyFill="1" applyBorder="1" applyAlignment="1" applyProtection="1">
      <alignment horizontal="left" wrapText="1"/>
    </xf>
    <xf numFmtId="0" fontId="0" fillId="5" borderId="13" xfId="0" applyFont="1" applyFill="1" applyBorder="1" applyAlignment="1">
      <alignment horizontal="center" vertical="center"/>
    </xf>
    <xf numFmtId="0" fontId="16" fillId="5" borderId="0" xfId="0" applyFont="1" applyFill="1" applyBorder="1" applyAlignment="1"/>
    <xf numFmtId="166" fontId="0" fillId="5" borderId="0" xfId="0" applyNumberFormat="1" applyFill="1" applyBorder="1" applyAlignment="1">
      <alignment horizontal="left"/>
    </xf>
    <xf numFmtId="0" fontId="0" fillId="5" borderId="129" xfId="0" applyFont="1" applyFill="1" applyBorder="1" applyAlignment="1">
      <alignment horizontal="left"/>
    </xf>
    <xf numFmtId="0" fontId="0" fillId="0" borderId="78" xfId="0" applyBorder="1" applyAlignment="1">
      <alignment wrapText="1"/>
    </xf>
    <xf numFmtId="0" fontId="0" fillId="5" borderId="71" xfId="0" applyFont="1" applyFill="1" applyBorder="1" applyAlignment="1">
      <alignment vertical="center"/>
    </xf>
    <xf numFmtId="0" fontId="0" fillId="5" borderId="78" xfId="0" applyFont="1" applyFill="1" applyBorder="1" applyAlignment="1">
      <alignment vertical="center"/>
    </xf>
    <xf numFmtId="0" fontId="64" fillId="0" borderId="33" xfId="0" applyFont="1" applyBorder="1" applyAlignment="1"/>
    <xf numFmtId="2" fontId="0" fillId="5" borderId="81" xfId="0" applyNumberFormat="1" applyFont="1" applyFill="1" applyBorder="1" applyAlignment="1"/>
    <xf numFmtId="2" fontId="0" fillId="5" borderId="33" xfId="0" applyNumberFormat="1" applyFont="1" applyFill="1" applyBorder="1" applyAlignment="1"/>
    <xf numFmtId="165" fontId="0" fillId="5" borderId="33" xfId="0" applyNumberFormat="1" applyFont="1" applyFill="1" applyBorder="1" applyAlignment="1">
      <alignment horizontal="left"/>
    </xf>
    <xf numFmtId="0" fontId="0" fillId="0" borderId="81" xfId="0" applyFont="1" applyBorder="1" applyAlignment="1"/>
    <xf numFmtId="169" fontId="0" fillId="71" borderId="0" xfId="0" applyNumberFormat="1" applyFont="1" applyFill="1" applyBorder="1" applyAlignment="1">
      <alignment horizontal="left"/>
    </xf>
    <xf numFmtId="169" fontId="0" fillId="71" borderId="114" xfId="0" applyNumberFormat="1" applyFont="1" applyFill="1" applyBorder="1" applyAlignment="1">
      <alignment horizontal="left"/>
    </xf>
    <xf numFmtId="2" fontId="16" fillId="10" borderId="116" xfId="0" applyNumberFormat="1" applyFont="1" applyFill="1" applyBorder="1" applyAlignment="1" applyProtection="1">
      <alignment horizontal="left" vertical="center" wrapText="1"/>
    </xf>
    <xf numFmtId="37" fontId="16" fillId="10" borderId="116" xfId="3" applyNumberFormat="1" applyFont="1" applyFill="1" applyBorder="1" applyAlignment="1" applyProtection="1">
      <alignment horizontal="left" wrapText="1"/>
    </xf>
    <xf numFmtId="0" fontId="16" fillId="10" borderId="72" xfId="0" applyNumberFormat="1" applyFont="1" applyFill="1" applyBorder="1" applyAlignment="1" applyProtection="1">
      <alignment horizontal="left" wrapText="1"/>
    </xf>
    <xf numFmtId="0" fontId="16" fillId="10" borderId="140" xfId="0" applyNumberFormat="1" applyFont="1" applyFill="1" applyBorder="1" applyAlignment="1" applyProtection="1">
      <alignment horizontal="left" wrapText="1"/>
    </xf>
    <xf numFmtId="8" fontId="16" fillId="10" borderId="140" xfId="0" applyNumberFormat="1" applyFont="1" applyFill="1" applyBorder="1" applyAlignment="1" applyProtection="1">
      <alignment horizontal="left" wrapText="1"/>
    </xf>
    <xf numFmtId="8" fontId="16" fillId="10" borderId="143" xfId="0" applyNumberFormat="1" applyFont="1" applyFill="1" applyBorder="1" applyAlignment="1" applyProtection="1">
      <alignment horizontal="left" wrapText="1"/>
    </xf>
    <xf numFmtId="165" fontId="16" fillId="10" borderId="144" xfId="0" applyNumberFormat="1" applyFont="1" applyFill="1" applyBorder="1" applyAlignment="1" applyProtection="1">
      <alignment horizontal="left" wrapText="1"/>
    </xf>
    <xf numFmtId="0" fontId="16" fillId="10" borderId="140" xfId="0" applyNumberFormat="1" applyFont="1" applyFill="1" applyBorder="1" applyAlignment="1" applyProtection="1">
      <alignment horizontal="left" vertical="center" wrapText="1"/>
    </xf>
    <xf numFmtId="8" fontId="16" fillId="10" borderId="140" xfId="0" applyNumberFormat="1" applyFont="1" applyFill="1" applyBorder="1" applyAlignment="1" applyProtection="1">
      <alignment horizontal="left" vertical="center" wrapText="1"/>
    </xf>
    <xf numFmtId="8" fontId="16" fillId="10" borderId="143" xfId="0" applyNumberFormat="1" applyFont="1" applyFill="1" applyBorder="1" applyAlignment="1" applyProtection="1">
      <alignment horizontal="left" vertical="center" wrapText="1"/>
    </xf>
    <xf numFmtId="0" fontId="0" fillId="0" borderId="37" xfId="0" applyBorder="1" applyAlignment="1">
      <alignment vertical="center" wrapText="1"/>
    </xf>
    <xf numFmtId="2" fontId="16" fillId="10" borderId="71" xfId="0" applyNumberFormat="1" applyFont="1" applyFill="1" applyBorder="1" applyAlignment="1" applyProtection="1">
      <alignment horizontal="left" vertical="center" wrapText="1"/>
    </xf>
    <xf numFmtId="2" fontId="16" fillId="10" borderId="72" xfId="0" applyNumberFormat="1" applyFont="1" applyFill="1" applyBorder="1" applyAlignment="1" applyProtection="1">
      <alignment horizontal="left" vertical="center" wrapText="1"/>
    </xf>
    <xf numFmtId="165" fontId="0" fillId="5" borderId="72" xfId="0" applyNumberFormat="1" applyFont="1" applyFill="1" applyBorder="1" applyAlignment="1">
      <alignment horizontal="left" vertical="center"/>
    </xf>
    <xf numFmtId="165" fontId="0" fillId="0" borderId="72" xfId="0" applyNumberFormat="1" applyFont="1" applyBorder="1" applyAlignment="1">
      <alignment horizontal="left" vertical="center"/>
    </xf>
    <xf numFmtId="0" fontId="0" fillId="0" borderId="92" xfId="0" applyFont="1" applyBorder="1" applyAlignment="1">
      <alignment horizontal="left" vertical="center"/>
    </xf>
    <xf numFmtId="0" fontId="0" fillId="0" borderId="36" xfId="0" applyFont="1" applyBorder="1" applyAlignment="1"/>
    <xf numFmtId="0" fontId="0" fillId="5" borderId="62" xfId="0" applyFont="1" applyFill="1" applyBorder="1" applyAlignment="1">
      <alignment vertical="center"/>
    </xf>
    <xf numFmtId="0" fontId="0" fillId="0" borderId="105" xfId="0" applyFont="1" applyFill="1" applyBorder="1" applyAlignment="1">
      <alignment horizontal="center" vertical="center" wrapText="1"/>
    </xf>
    <xf numFmtId="2" fontId="0" fillId="5" borderId="127" xfId="0" applyNumberFormat="1" applyFont="1" applyFill="1" applyBorder="1" applyAlignment="1"/>
    <xf numFmtId="2" fontId="0" fillId="5" borderId="126" xfId="0" applyNumberFormat="1" applyFont="1" applyFill="1" applyBorder="1" applyAlignment="1"/>
    <xf numFmtId="165" fontId="0" fillId="5" borderId="126" xfId="0" applyNumberFormat="1" applyFont="1" applyFill="1" applyBorder="1" applyAlignment="1">
      <alignment horizontal="left"/>
    </xf>
    <xf numFmtId="165" fontId="0" fillId="5" borderId="93" xfId="0" applyNumberFormat="1" applyFont="1" applyFill="1" applyBorder="1" applyAlignment="1">
      <alignment horizontal="left"/>
    </xf>
    <xf numFmtId="0" fontId="16" fillId="10" borderId="76" xfId="0" applyNumberFormat="1" applyFont="1" applyFill="1" applyBorder="1" applyAlignment="1" applyProtection="1">
      <alignment horizontal="left" vertical="center" wrapText="1"/>
    </xf>
    <xf numFmtId="9" fontId="16" fillId="10" borderId="79" xfId="2106" applyFont="1" applyFill="1" applyBorder="1" applyAlignment="1" applyProtection="1">
      <alignment horizontal="left" vertical="center" wrapText="1"/>
    </xf>
    <xf numFmtId="0" fontId="0" fillId="5" borderId="60" xfId="0" applyFont="1" applyFill="1" applyBorder="1" applyAlignment="1">
      <alignment vertical="center"/>
    </xf>
    <xf numFmtId="169" fontId="0" fillId="5" borderId="114" xfId="0" applyNumberFormat="1" applyFont="1" applyFill="1" applyBorder="1" applyAlignment="1">
      <alignment horizontal="left"/>
    </xf>
    <xf numFmtId="165" fontId="103" fillId="10" borderId="116" xfId="0" applyNumberFormat="1" applyFont="1" applyFill="1" applyBorder="1" applyAlignment="1" applyProtection="1">
      <alignment horizontal="left" wrapText="1"/>
    </xf>
    <xf numFmtId="165" fontId="103" fillId="71" borderId="13" xfId="0" applyNumberFormat="1" applyFont="1" applyFill="1" applyBorder="1" applyAlignment="1" applyProtection="1">
      <alignment horizontal="left" wrapText="1"/>
    </xf>
    <xf numFmtId="0" fontId="0" fillId="71" borderId="94" xfId="0" applyFont="1" applyFill="1" applyBorder="1" applyAlignment="1"/>
    <xf numFmtId="0" fontId="0" fillId="0" borderId="110" xfId="0" applyFont="1" applyBorder="1"/>
    <xf numFmtId="0" fontId="0" fillId="0" borderId="11" xfId="0" applyFont="1" applyBorder="1" applyAlignment="1"/>
    <xf numFmtId="0" fontId="103" fillId="10" borderId="115" xfId="0" applyNumberFormat="1" applyFont="1" applyFill="1" applyBorder="1" applyAlignment="1" applyProtection="1">
      <alignment horizontal="left" wrapText="1"/>
    </xf>
    <xf numFmtId="166" fontId="0" fillId="0" borderId="13" xfId="0" applyNumberFormat="1" applyFont="1" applyBorder="1" applyAlignment="1">
      <alignment horizontal="left" vertical="center"/>
    </xf>
    <xf numFmtId="0" fontId="0" fillId="0" borderId="83" xfId="0" applyFont="1" applyBorder="1"/>
    <xf numFmtId="2" fontId="103" fillId="10" borderId="117" xfId="0" applyNumberFormat="1" applyFont="1" applyFill="1" applyBorder="1" applyAlignment="1" applyProtection="1">
      <alignment horizontal="left" wrapText="1"/>
    </xf>
    <xf numFmtId="2" fontId="103" fillId="10" borderId="115" xfId="0" applyNumberFormat="1" applyFont="1" applyFill="1" applyBorder="1" applyAlignment="1" applyProtection="1">
      <alignment horizontal="left" wrapText="1"/>
    </xf>
    <xf numFmtId="169" fontId="0" fillId="0" borderId="3" xfId="0" applyNumberFormat="1" applyFont="1" applyBorder="1" applyAlignment="1">
      <alignment horizontal="left"/>
    </xf>
    <xf numFmtId="169" fontId="0" fillId="0" borderId="9" xfId="0" applyNumberFormat="1" applyFont="1" applyBorder="1" applyAlignment="1">
      <alignment horizontal="left"/>
    </xf>
    <xf numFmtId="0" fontId="0" fillId="0" borderId="83" xfId="0" applyFont="1" applyFill="1" applyBorder="1"/>
    <xf numFmtId="0" fontId="0" fillId="0" borderId="111" xfId="0" applyFont="1" applyBorder="1"/>
    <xf numFmtId="166" fontId="0" fillId="0" borderId="35" xfId="0" applyNumberFormat="1" applyFont="1" applyBorder="1" applyAlignment="1">
      <alignment horizontal="left" vertical="center"/>
    </xf>
    <xf numFmtId="0" fontId="0" fillId="0" borderId="23" xfId="0" applyFont="1" applyFill="1" applyBorder="1"/>
    <xf numFmtId="165" fontId="103" fillId="10" borderId="115" xfId="0" applyNumberFormat="1" applyFont="1" applyFill="1" applyBorder="1" applyAlignment="1" applyProtection="1">
      <alignment horizontal="left" wrapText="1"/>
    </xf>
    <xf numFmtId="0" fontId="103" fillId="10" borderId="145" xfId="0" applyNumberFormat="1" applyFont="1" applyFill="1" applyBorder="1" applyAlignment="1" applyProtection="1">
      <alignment horizontal="left" wrapText="1"/>
    </xf>
    <xf numFmtId="0" fontId="103" fillId="10" borderId="115" xfId="0" applyNumberFormat="1" applyFont="1" applyFill="1" applyBorder="1" applyAlignment="1" applyProtection="1">
      <alignment horizontal="right" wrapText="1"/>
    </xf>
    <xf numFmtId="8" fontId="103" fillId="10" borderId="115" xfId="0" applyNumberFormat="1" applyFont="1" applyFill="1" applyBorder="1" applyAlignment="1" applyProtection="1">
      <alignment horizontal="right" wrapText="1"/>
    </xf>
    <xf numFmtId="8" fontId="103" fillId="10" borderId="116" xfId="0" applyNumberFormat="1" applyFont="1" applyFill="1" applyBorder="1" applyAlignment="1" applyProtection="1">
      <alignment horizontal="right" wrapText="1"/>
    </xf>
    <xf numFmtId="0" fontId="0" fillId="0" borderId="83" xfId="0" applyBorder="1"/>
    <xf numFmtId="0" fontId="0" fillId="5" borderId="83" xfId="0" applyFill="1" applyBorder="1" applyAlignment="1">
      <alignment horizontal="left" vertical="center"/>
    </xf>
    <xf numFmtId="0" fontId="0" fillId="5" borderId="9" xfId="0" applyFill="1" applyBorder="1" applyAlignment="1">
      <alignment horizontal="left" vertical="center"/>
    </xf>
    <xf numFmtId="2" fontId="103" fillId="10" borderId="116" xfId="0" applyNumberFormat="1" applyFont="1" applyFill="1" applyBorder="1" applyAlignment="1" applyProtection="1">
      <alignment horizontal="left" wrapText="1"/>
    </xf>
    <xf numFmtId="165" fontId="0" fillId="5" borderId="3" xfId="0" applyNumberFormat="1" applyFill="1" applyBorder="1" applyAlignment="1">
      <alignment horizontal="left" vertical="center"/>
    </xf>
    <xf numFmtId="165" fontId="0" fillId="0" borderId="3" xfId="0" applyNumberFormat="1" applyBorder="1" applyAlignment="1">
      <alignment horizontal="left"/>
    </xf>
    <xf numFmtId="0" fontId="2" fillId="5" borderId="3" xfId="0" applyFont="1" applyFill="1" applyBorder="1" applyAlignment="1">
      <alignment vertical="center"/>
    </xf>
    <xf numFmtId="0" fontId="2" fillId="5" borderId="9" xfId="0" applyFont="1" applyFill="1" applyBorder="1" applyAlignment="1">
      <alignment vertical="center"/>
    </xf>
    <xf numFmtId="0" fontId="2" fillId="71" borderId="13" xfId="0" applyFont="1" applyFill="1" applyBorder="1" applyAlignment="1">
      <alignment vertical="center"/>
    </xf>
    <xf numFmtId="0" fontId="0" fillId="0" borderId="3" xfId="0" applyBorder="1"/>
    <xf numFmtId="0" fontId="0" fillId="0" borderId="3" xfId="0" applyBorder="1" applyAlignment="1"/>
    <xf numFmtId="169" fontId="0" fillId="0" borderId="72" xfId="0" applyNumberFormat="1" applyBorder="1" applyAlignment="1">
      <alignment horizontal="left"/>
    </xf>
    <xf numFmtId="2" fontId="0" fillId="5" borderId="0" xfId="2106" applyNumberFormat="1" applyFont="1" applyFill="1" applyBorder="1" applyAlignment="1">
      <alignment horizontal="left"/>
    </xf>
    <xf numFmtId="0" fontId="0" fillId="0" borderId="23" xfId="0" applyBorder="1"/>
    <xf numFmtId="0" fontId="0" fillId="5" borderId="23" xfId="0" applyFill="1" applyBorder="1" applyAlignment="1">
      <alignment horizontal="left" vertical="center"/>
    </xf>
    <xf numFmtId="0" fontId="0" fillId="5" borderId="37" xfId="0" applyFill="1" applyBorder="1" applyAlignment="1">
      <alignment horizontal="left" vertical="center"/>
    </xf>
    <xf numFmtId="165" fontId="0" fillId="5" borderId="1" xfId="0" applyNumberFormat="1" applyFill="1" applyBorder="1" applyAlignment="1">
      <alignment horizontal="left" vertical="center"/>
    </xf>
    <xf numFmtId="165" fontId="0" fillId="0" borderId="1" xfId="0" applyNumberFormat="1" applyBorder="1" applyAlignment="1">
      <alignment horizontal="left"/>
    </xf>
    <xf numFmtId="0" fontId="0" fillId="0" borderId="37" xfId="0" applyBorder="1"/>
    <xf numFmtId="0" fontId="0" fillId="71" borderId="13" xfId="0" applyFill="1" applyBorder="1"/>
    <xf numFmtId="0" fontId="0" fillId="0" borderId="1" xfId="0" applyFill="1" applyBorder="1" applyAlignment="1">
      <alignment horizontal="left" vertical="center"/>
    </xf>
    <xf numFmtId="0" fontId="0" fillId="5" borderId="1" xfId="0" applyFill="1" applyBorder="1" applyAlignment="1">
      <alignment horizontal="left" vertical="center"/>
    </xf>
    <xf numFmtId="0" fontId="2" fillId="5" borderId="1" xfId="0" applyFont="1" applyFill="1" applyBorder="1" applyAlignment="1">
      <alignment vertical="center"/>
    </xf>
    <xf numFmtId="0" fontId="2" fillId="5" borderId="37" xfId="0" applyFont="1" applyFill="1" applyBorder="1" applyAlignment="1">
      <alignment vertical="center"/>
    </xf>
    <xf numFmtId="2" fontId="0" fillId="0" borderId="1" xfId="0" quotePrefix="1" applyNumberFormat="1" applyBorder="1" applyAlignment="1">
      <alignment horizontal="left"/>
    </xf>
    <xf numFmtId="2" fontId="0" fillId="0" borderId="37" xfId="0" quotePrefix="1" applyNumberFormat="1" applyBorder="1" applyAlignment="1">
      <alignment horizontal="left"/>
    </xf>
    <xf numFmtId="0" fontId="0" fillId="0" borderId="1" xfId="0" applyFill="1" applyBorder="1" applyAlignment="1">
      <alignment vertical="center"/>
    </xf>
    <xf numFmtId="0" fontId="0" fillId="0" borderId="37" xfId="0" applyFill="1" applyBorder="1" applyAlignment="1">
      <alignment horizontal="left" vertical="center"/>
    </xf>
    <xf numFmtId="0" fontId="0" fillId="71" borderId="13" xfId="0" applyFill="1" applyBorder="1" applyAlignment="1">
      <alignment horizontal="left" vertical="center"/>
    </xf>
    <xf numFmtId="0" fontId="0" fillId="5" borderId="81" xfId="0" applyFill="1" applyBorder="1" applyAlignment="1">
      <alignment horizontal="left" vertical="center"/>
    </xf>
    <xf numFmtId="0" fontId="0" fillId="5" borderId="35" xfId="0" applyFill="1" applyBorder="1" applyAlignment="1">
      <alignment horizontal="left" vertical="center"/>
    </xf>
    <xf numFmtId="0" fontId="0" fillId="5" borderId="13" xfId="0" applyFill="1" applyBorder="1" applyAlignment="1"/>
    <xf numFmtId="0" fontId="0" fillId="5" borderId="62" xfId="0" applyFill="1" applyBorder="1" applyAlignment="1">
      <alignment horizontal="left" vertical="center"/>
    </xf>
    <xf numFmtId="0" fontId="0" fillId="5" borderId="80" xfId="0" applyFill="1" applyBorder="1" applyAlignment="1">
      <alignment horizontal="left" vertical="center"/>
    </xf>
    <xf numFmtId="2" fontId="0" fillId="5" borderId="63" xfId="0" applyNumberFormat="1" applyFill="1" applyBorder="1" applyAlignment="1"/>
    <xf numFmtId="2" fontId="0" fillId="5" borderId="0" xfId="0" applyNumberFormat="1" applyFill="1" applyBorder="1" applyAlignment="1"/>
    <xf numFmtId="165" fontId="0" fillId="5" borderId="0" xfId="0" applyNumberFormat="1" applyFill="1" applyBorder="1" applyAlignment="1"/>
    <xf numFmtId="0" fontId="2" fillId="5" borderId="34" xfId="0" applyFont="1" applyFill="1" applyBorder="1" applyAlignment="1">
      <alignment vertical="center"/>
    </xf>
    <xf numFmtId="0" fontId="0" fillId="5" borderId="63" xfId="0" applyFill="1" applyBorder="1" applyAlignment="1"/>
    <xf numFmtId="165" fontId="103" fillId="10" borderId="1" xfId="0" applyNumberFormat="1" applyFont="1" applyFill="1" applyBorder="1" applyAlignment="1" applyProtection="1">
      <alignment horizontal="left" wrapText="1"/>
    </xf>
    <xf numFmtId="0" fontId="0" fillId="5" borderId="63" xfId="0" applyFill="1" applyBorder="1"/>
    <xf numFmtId="0" fontId="0" fillId="5" borderId="60" xfId="0" applyFill="1" applyBorder="1" applyAlignment="1"/>
    <xf numFmtId="0" fontId="0" fillId="5" borderId="114" xfId="0" applyFill="1" applyBorder="1" applyAlignment="1"/>
    <xf numFmtId="0" fontId="0" fillId="5" borderId="107" xfId="0" applyFill="1" applyBorder="1" applyAlignment="1"/>
    <xf numFmtId="169" fontId="16" fillId="0" borderId="1" xfId="0" applyNumberFormat="1" applyFont="1" applyBorder="1" applyAlignment="1">
      <alignment horizontal="left"/>
    </xf>
    <xf numFmtId="166" fontId="0" fillId="0" borderId="37" xfId="0" applyNumberFormat="1" applyFont="1" applyFill="1" applyBorder="1" applyAlignment="1">
      <alignment horizontal="left"/>
    </xf>
    <xf numFmtId="0" fontId="0" fillId="0" borderId="37" xfId="0" applyFill="1" applyBorder="1" applyAlignment="1"/>
    <xf numFmtId="6" fontId="0" fillId="0" borderId="1" xfId="0" applyNumberFormat="1" applyBorder="1" applyAlignment="1">
      <alignment horizontal="left"/>
    </xf>
    <xf numFmtId="166" fontId="0" fillId="0" borderId="37" xfId="0" applyNumberFormat="1" applyBorder="1" applyAlignment="1">
      <alignment horizontal="left"/>
    </xf>
    <xf numFmtId="166" fontId="0" fillId="71" borderId="8" xfId="0" applyNumberFormat="1" applyFill="1" applyBorder="1" applyAlignment="1">
      <alignment horizontal="left"/>
    </xf>
    <xf numFmtId="169" fontId="0" fillId="5" borderId="13" xfId="1" applyNumberFormat="1" applyFont="1" applyFill="1" applyBorder="1" applyAlignment="1">
      <alignment horizontal="left"/>
    </xf>
    <xf numFmtId="0" fontId="0" fillId="0" borderId="1" xfId="0" applyFont="1" applyFill="1" applyBorder="1"/>
    <xf numFmtId="169" fontId="0" fillId="6" borderId="33" xfId="1" applyNumberFormat="1" applyFont="1" applyFill="1" applyBorder="1" applyAlignment="1">
      <alignment horizontal="left"/>
    </xf>
    <xf numFmtId="169" fontId="0" fillId="6" borderId="35" xfId="1" applyNumberFormat="1" applyFont="1" applyFill="1" applyBorder="1" applyAlignment="1">
      <alignment horizontal="left"/>
    </xf>
    <xf numFmtId="39" fontId="0" fillId="0" borderId="76" xfId="3" applyNumberFormat="1" applyFont="1" applyFill="1" applyBorder="1" applyAlignment="1">
      <alignment horizontal="left"/>
    </xf>
    <xf numFmtId="0" fontId="0" fillId="0" borderId="110" xfId="0" applyFont="1" applyFill="1" applyBorder="1" applyAlignment="1">
      <alignment vertical="center"/>
    </xf>
    <xf numFmtId="0" fontId="103" fillId="10" borderId="3" xfId="0" applyNumberFormat="1" applyFont="1" applyFill="1" applyBorder="1" applyAlignment="1" applyProtection="1">
      <alignment horizontal="left" wrapText="1"/>
    </xf>
    <xf numFmtId="0" fontId="103" fillId="10" borderId="3" xfId="0" applyNumberFormat="1" applyFont="1" applyFill="1" applyBorder="1" applyAlignment="1" applyProtection="1">
      <alignment horizontal="right" wrapText="1"/>
    </xf>
    <xf numFmtId="0" fontId="0" fillId="0" borderId="63" xfId="0" applyFont="1" applyFill="1" applyBorder="1" applyAlignment="1">
      <alignment vertical="center"/>
    </xf>
    <xf numFmtId="165" fontId="0" fillId="0" borderId="3" xfId="0" applyNumberFormat="1" applyFont="1" applyFill="1" applyBorder="1" applyAlignment="1">
      <alignment horizontal="left"/>
    </xf>
    <xf numFmtId="0" fontId="2" fillId="5" borderId="11" xfId="0" applyFont="1" applyFill="1" applyBorder="1" applyAlignment="1">
      <alignment horizontal="left" vertical="center"/>
    </xf>
    <xf numFmtId="0" fontId="0" fillId="0" borderId="3" xfId="0" applyFont="1" applyFill="1" applyBorder="1" applyAlignment="1"/>
    <xf numFmtId="0" fontId="16" fillId="0" borderId="3" xfId="0" applyFont="1" applyFill="1" applyBorder="1" applyAlignment="1"/>
    <xf numFmtId="0" fontId="0" fillId="0" borderId="0" xfId="0" applyFont="1" applyFill="1" applyAlignment="1"/>
    <xf numFmtId="0" fontId="0" fillId="0" borderId="111" xfId="0" applyFont="1" applyFill="1" applyBorder="1" applyAlignment="1">
      <alignment vertical="center"/>
    </xf>
    <xf numFmtId="0" fontId="103" fillId="10" borderId="1" xfId="0" applyNumberFormat="1" applyFont="1" applyFill="1" applyBorder="1" applyAlignment="1" applyProtection="1">
      <alignment horizontal="right" wrapText="1"/>
    </xf>
    <xf numFmtId="0" fontId="16" fillId="0" borderId="1" xfId="0" applyFont="1" applyFill="1" applyBorder="1" applyAlignment="1"/>
    <xf numFmtId="0" fontId="0" fillId="5" borderId="13" xfId="0" applyFont="1" applyFill="1" applyBorder="1" applyAlignment="1">
      <alignment horizontal="right"/>
    </xf>
    <xf numFmtId="2" fontId="103" fillId="10" borderId="146" xfId="0" applyNumberFormat="1" applyFont="1" applyFill="1" applyBorder="1" applyAlignment="1" applyProtection="1">
      <alignment horizontal="left" wrapText="1"/>
    </xf>
    <xf numFmtId="2" fontId="103" fillId="10" borderId="1" xfId="0" applyNumberFormat="1" applyFont="1" applyFill="1" applyBorder="1" applyAlignment="1" applyProtection="1">
      <alignment horizontal="left" wrapText="1"/>
    </xf>
    <xf numFmtId="0" fontId="103" fillId="10" borderId="117" xfId="0" applyNumberFormat="1" applyFont="1" applyFill="1" applyBorder="1" applyAlignment="1" applyProtection="1">
      <alignment horizontal="left" wrapText="1"/>
    </xf>
    <xf numFmtId="165" fontId="0" fillId="5" borderId="80" xfId="0" applyNumberFormat="1" applyFont="1" applyFill="1" applyBorder="1" applyAlignment="1">
      <alignment horizontal="left" vertical="center"/>
    </xf>
    <xf numFmtId="165" fontId="0" fillId="5" borderId="114" xfId="0" applyNumberFormat="1" applyFont="1" applyFill="1" applyBorder="1" applyAlignment="1">
      <alignment horizontal="left" vertical="center"/>
    </xf>
    <xf numFmtId="166" fontId="0" fillId="5" borderId="0" xfId="1" applyNumberFormat="1" applyFont="1" applyFill="1" applyBorder="1" applyAlignment="1">
      <alignment horizontal="left"/>
    </xf>
    <xf numFmtId="0" fontId="0" fillId="0" borderId="72" xfId="0" applyFont="1" applyFill="1" applyBorder="1" applyAlignment="1"/>
    <xf numFmtId="0" fontId="0" fillId="0" borderId="118" xfId="0" applyFont="1" applyFill="1" applyBorder="1" applyAlignment="1"/>
    <xf numFmtId="166" fontId="0" fillId="0" borderId="35" xfId="0" applyNumberFormat="1" applyFont="1" applyFill="1" applyBorder="1" applyAlignment="1">
      <alignment horizontal="left"/>
    </xf>
    <xf numFmtId="0" fontId="0" fillId="5" borderId="142" xfId="0" applyFont="1" applyFill="1" applyBorder="1" applyAlignment="1">
      <alignment horizontal="left" vertical="center"/>
    </xf>
    <xf numFmtId="165" fontId="0" fillId="0" borderId="72" xfId="0" applyNumberFormat="1" applyFont="1" applyFill="1" applyBorder="1" applyAlignment="1">
      <alignment horizontal="left"/>
    </xf>
    <xf numFmtId="0" fontId="0" fillId="0" borderId="120" xfId="0" applyFont="1" applyFill="1" applyBorder="1" applyAlignment="1">
      <alignment vertical="center"/>
    </xf>
    <xf numFmtId="0" fontId="0" fillId="0" borderId="90" xfId="0" applyFont="1" applyFill="1" applyBorder="1" applyAlignment="1">
      <alignment horizontal="left" vertical="center"/>
    </xf>
    <xf numFmtId="0" fontId="0" fillId="0" borderId="72" xfId="0" applyFont="1" applyFill="1" applyBorder="1" applyAlignment="1">
      <alignment vertical="center"/>
    </xf>
    <xf numFmtId="0" fontId="0" fillId="0" borderId="72" xfId="0" applyFont="1" applyFill="1" applyBorder="1" applyAlignment="1">
      <alignment horizontal="left" vertical="center"/>
    </xf>
    <xf numFmtId="3" fontId="0" fillId="0" borderId="72" xfId="0" applyNumberFormat="1" applyFont="1" applyFill="1" applyBorder="1" applyAlignment="1">
      <alignment horizontal="left" vertical="center"/>
    </xf>
    <xf numFmtId="0" fontId="0" fillId="0" borderId="71" xfId="0" applyFill="1" applyBorder="1" applyAlignment="1">
      <alignment vertical="center"/>
    </xf>
    <xf numFmtId="0" fontId="0" fillId="0" borderId="78" xfId="0" applyFill="1" applyBorder="1" applyAlignment="1">
      <alignment vertical="center"/>
    </xf>
    <xf numFmtId="0" fontId="0" fillId="0" borderId="78" xfId="0" applyFill="1" applyBorder="1" applyAlignment="1"/>
    <xf numFmtId="2" fontId="0" fillId="0" borderId="71" xfId="0" applyNumberFormat="1" applyFont="1" applyFill="1" applyBorder="1" applyAlignment="1">
      <alignment horizontal="left"/>
    </xf>
    <xf numFmtId="2" fontId="0" fillId="0" borderId="72" xfId="0" applyNumberFormat="1" applyFont="1" applyFill="1" applyBorder="1" applyAlignment="1">
      <alignment horizontal="left"/>
    </xf>
    <xf numFmtId="169" fontId="0" fillId="6" borderId="72" xfId="1" applyNumberFormat="1" applyFont="1" applyFill="1" applyBorder="1" applyAlignment="1">
      <alignment horizontal="left"/>
    </xf>
    <xf numFmtId="2" fontId="0" fillId="5" borderId="0" xfId="1" applyNumberFormat="1" applyFont="1" applyFill="1" applyBorder="1" applyAlignment="1">
      <alignment horizontal="left"/>
    </xf>
    <xf numFmtId="2" fontId="0" fillId="0" borderId="23" xfId="0" applyNumberFormat="1" applyBorder="1" applyAlignment="1">
      <alignment horizontal="left"/>
    </xf>
    <xf numFmtId="2" fontId="0" fillId="0" borderId="81" xfId="0" applyNumberFormat="1" applyBorder="1" applyAlignment="1">
      <alignment horizontal="left"/>
    </xf>
    <xf numFmtId="2" fontId="0" fillId="5" borderId="80" xfId="0" applyNumberFormat="1" applyFill="1" applyBorder="1" applyAlignment="1">
      <alignment horizontal="left"/>
    </xf>
    <xf numFmtId="2" fontId="0" fillId="5" borderId="80" xfId="0" applyNumberFormat="1" applyFill="1" applyBorder="1" applyAlignment="1">
      <alignment horizontal="left" vertical="center"/>
    </xf>
    <xf numFmtId="2" fontId="0" fillId="5" borderId="0" xfId="0" applyNumberFormat="1" applyFill="1" applyBorder="1" applyAlignment="1">
      <alignment horizontal="left"/>
    </xf>
    <xf numFmtId="2" fontId="0" fillId="5" borderId="0" xfId="0" applyNumberFormat="1" applyFill="1" applyBorder="1" applyAlignment="1">
      <alignment horizontal="left" vertical="center"/>
    </xf>
    <xf numFmtId="2" fontId="0" fillId="5" borderId="114" xfId="0" applyNumberFormat="1" applyFill="1" applyBorder="1" applyAlignment="1">
      <alignment horizontal="left"/>
    </xf>
    <xf numFmtId="2" fontId="0" fillId="5" borderId="114" xfId="0" applyNumberFormat="1" applyFill="1" applyBorder="1" applyAlignment="1">
      <alignment horizontal="left" vertical="center"/>
    </xf>
    <xf numFmtId="0" fontId="0" fillId="0" borderId="0" xfId="0" applyFont="1" applyAlignment="1">
      <alignment horizontal="left"/>
    </xf>
    <xf numFmtId="0" fontId="0" fillId="0" borderId="118" xfId="0" applyFont="1" applyBorder="1" applyAlignment="1"/>
    <xf numFmtId="0" fontId="0" fillId="0" borderId="0" xfId="0" applyFont="1" applyBorder="1" applyAlignment="1">
      <alignment horizontal="left"/>
    </xf>
    <xf numFmtId="2" fontId="0" fillId="0" borderId="63" xfId="0" applyNumberFormat="1" applyFont="1" applyBorder="1" applyAlignment="1"/>
    <xf numFmtId="2" fontId="0" fillId="0" borderId="0" xfId="0" applyNumberFormat="1" applyFont="1" applyBorder="1" applyAlignment="1"/>
    <xf numFmtId="165" fontId="0" fillId="0" borderId="0" xfId="0" applyNumberFormat="1" applyFont="1" applyBorder="1" applyAlignment="1">
      <alignment horizontal="left"/>
    </xf>
    <xf numFmtId="0" fontId="0" fillId="0" borderId="13" xfId="0" applyFont="1" applyBorder="1" applyAlignment="1"/>
    <xf numFmtId="0" fontId="19" fillId="75" borderId="0" xfId="0" applyFont="1" applyFill="1" applyAlignment="1" applyProtection="1">
      <alignment horizontal="left" vertical="center"/>
      <protection locked="0"/>
    </xf>
    <xf numFmtId="169" fontId="97" fillId="75" borderId="96" xfId="0" applyNumberFormat="1" applyFont="1" applyFill="1" applyBorder="1" applyAlignment="1" applyProtection="1">
      <alignment horizontal="center" vertical="center"/>
      <protection locked="0"/>
    </xf>
    <xf numFmtId="166" fontId="97" fillId="75" borderId="96" xfId="0" applyNumberFormat="1" applyFont="1" applyFill="1" applyBorder="1" applyAlignment="1" applyProtection="1">
      <alignment horizontal="center" vertical="center"/>
      <protection locked="0"/>
    </xf>
    <xf numFmtId="0" fontId="0" fillId="0" borderId="0" xfId="0" applyProtection="1">
      <protection hidden="1"/>
    </xf>
    <xf numFmtId="0" fontId="0" fillId="5" borderId="0" xfId="0" applyFont="1" applyFill="1" applyBorder="1" applyAlignment="1" applyProtection="1">
      <protection locked="0"/>
    </xf>
    <xf numFmtId="0" fontId="0" fillId="5" borderId="42" xfId="0" applyFont="1" applyFill="1" applyBorder="1" applyAlignment="1" applyProtection="1">
      <protection locked="0"/>
    </xf>
    <xf numFmtId="0" fontId="2" fillId="5" borderId="0" xfId="0" applyFont="1" applyFill="1" applyBorder="1" applyAlignment="1" applyProtection="1">
      <alignment horizontal="center"/>
      <protection locked="0"/>
    </xf>
    <xf numFmtId="166" fontId="2" fillId="5" borderId="0" xfId="0" applyNumberFormat="1" applyFont="1" applyFill="1" applyBorder="1" applyAlignment="1" applyProtection="1">
      <alignment horizontal="center"/>
      <protection locked="0"/>
    </xf>
    <xf numFmtId="0" fontId="0" fillId="5" borderId="63" xfId="0" applyFont="1" applyFill="1" applyBorder="1" applyAlignment="1" applyProtection="1">
      <protection locked="0"/>
    </xf>
    <xf numFmtId="169" fontId="2" fillId="5" borderId="0" xfId="0" applyNumberFormat="1" applyFont="1" applyFill="1" applyBorder="1" applyAlignment="1" applyProtection="1">
      <alignment horizontal="left" vertical="center" wrapText="1"/>
      <protection locked="0"/>
    </xf>
    <xf numFmtId="169" fontId="2" fillId="5" borderId="42" xfId="0" applyNumberFormat="1" applyFont="1" applyFill="1" applyBorder="1" applyAlignment="1" applyProtection="1">
      <alignment horizontal="left" vertical="center" wrapText="1"/>
      <protection locked="0"/>
    </xf>
    <xf numFmtId="169" fontId="2" fillId="5" borderId="147" xfId="0" applyNumberFormat="1" applyFont="1" applyFill="1" applyBorder="1" applyAlignment="1" applyProtection="1">
      <alignment horizontal="left" vertical="center" wrapText="1"/>
      <protection locked="0"/>
    </xf>
    <xf numFmtId="0" fontId="2" fillId="5" borderId="36" xfId="0" applyFont="1" applyFill="1" applyBorder="1" applyAlignment="1" applyProtection="1">
      <alignment vertical="center" wrapText="1"/>
      <protection locked="0"/>
    </xf>
    <xf numFmtId="0" fontId="2" fillId="5" borderId="1" xfId="0" applyFont="1" applyFill="1" applyBorder="1" applyAlignment="1" applyProtection="1">
      <alignment vertical="center" wrapText="1"/>
      <protection locked="0"/>
    </xf>
    <xf numFmtId="166" fontId="2" fillId="5" borderId="1" xfId="0" applyNumberFormat="1" applyFont="1" applyFill="1" applyBorder="1" applyAlignment="1" applyProtection="1">
      <alignment horizontal="left" vertical="center" wrapText="1"/>
      <protection locked="0"/>
    </xf>
    <xf numFmtId="169" fontId="2" fillId="5" borderId="37" xfId="0" applyNumberFormat="1" applyFont="1" applyFill="1" applyBorder="1" applyAlignment="1" applyProtection="1">
      <alignment horizontal="left" vertical="center" wrapText="1"/>
      <protection locked="0"/>
    </xf>
    <xf numFmtId="166" fontId="2" fillId="5" borderId="74" xfId="0" applyNumberFormat="1" applyFont="1" applyFill="1" applyBorder="1" applyAlignment="1" applyProtection="1">
      <alignment horizontal="left" vertical="center" wrapText="1"/>
      <protection locked="0"/>
    </xf>
    <xf numFmtId="169" fontId="2" fillId="5" borderId="63" xfId="0" applyNumberFormat="1" applyFont="1" applyFill="1" applyBorder="1" applyAlignment="1" applyProtection="1">
      <alignment horizontal="left" vertical="center" wrapText="1"/>
      <protection locked="0"/>
    </xf>
    <xf numFmtId="0" fontId="2" fillId="5" borderId="95" xfId="0" applyFont="1" applyFill="1" applyBorder="1" applyAlignment="1" applyProtection="1">
      <alignment vertical="center" wrapText="1"/>
      <protection locked="0"/>
    </xf>
    <xf numFmtId="169" fontId="2" fillId="5" borderId="94" xfId="0" applyNumberFormat="1" applyFont="1" applyFill="1" applyBorder="1" applyAlignment="1" applyProtection="1">
      <alignment horizontal="left" vertical="center" wrapText="1"/>
      <protection locked="0"/>
    </xf>
    <xf numFmtId="169" fontId="2" fillId="5" borderId="107" xfId="0" applyNumberFormat="1" applyFont="1" applyFill="1" applyBorder="1" applyAlignment="1" applyProtection="1">
      <alignment horizontal="left" vertical="center" wrapText="1"/>
      <protection locked="0"/>
    </xf>
    <xf numFmtId="0" fontId="2" fillId="5" borderId="75" xfId="0" applyFont="1" applyFill="1" applyBorder="1" applyAlignment="1" applyProtection="1">
      <alignment vertical="center" wrapText="1"/>
      <protection locked="0"/>
    </xf>
    <xf numFmtId="169" fontId="2" fillId="5" borderId="77" xfId="0" applyNumberFormat="1" applyFont="1" applyFill="1" applyBorder="1" applyAlignment="1" applyProtection="1">
      <alignment horizontal="left" vertical="center" wrapText="1"/>
      <protection locked="0"/>
    </xf>
    <xf numFmtId="0" fontId="101" fillId="71" borderId="15" xfId="0" applyFont="1" applyFill="1" applyBorder="1" applyAlignment="1" applyProtection="1">
      <alignment horizontal="left" vertical="center"/>
      <protection locked="0"/>
    </xf>
    <xf numFmtId="0" fontId="0" fillId="71" borderId="0" xfId="0" applyFont="1" applyFill="1" applyBorder="1" applyAlignment="1" applyProtection="1">
      <protection locked="0"/>
    </xf>
    <xf numFmtId="0" fontId="0" fillId="71" borderId="42" xfId="0" applyFont="1" applyFill="1" applyBorder="1" applyAlignment="1" applyProtection="1">
      <protection locked="0"/>
    </xf>
    <xf numFmtId="166" fontId="0" fillId="71" borderId="0" xfId="0" applyNumberFormat="1" applyFont="1" applyFill="1" applyBorder="1" applyAlignment="1" applyProtection="1">
      <protection locked="0"/>
    </xf>
    <xf numFmtId="0" fontId="0" fillId="71" borderId="63" xfId="0" applyFont="1" applyFill="1" applyBorder="1" applyAlignment="1" applyProtection="1">
      <protection locked="0"/>
    </xf>
    <xf numFmtId="0" fontId="0" fillId="71" borderId="19" xfId="0" applyFont="1" applyFill="1" applyBorder="1" applyAlignment="1" applyProtection="1">
      <protection locked="0"/>
    </xf>
    <xf numFmtId="0" fontId="0" fillId="0" borderId="148" xfId="0" applyFont="1" applyBorder="1" applyAlignment="1" applyProtection="1">
      <protection locked="0"/>
    </xf>
    <xf numFmtId="0" fontId="0" fillId="0" borderId="11" xfId="0" applyFont="1" applyBorder="1" applyAlignment="1" applyProtection="1">
      <protection locked="0"/>
    </xf>
    <xf numFmtId="0" fontId="0" fillId="0" borderId="3" xfId="0" applyFont="1" applyBorder="1" applyAlignment="1" applyProtection="1">
      <protection locked="0"/>
    </xf>
    <xf numFmtId="166" fontId="0" fillId="0" borderId="3" xfId="0" applyNumberFormat="1" applyFont="1" applyBorder="1" applyAlignment="1" applyProtection="1">
      <protection locked="0"/>
    </xf>
    <xf numFmtId="0" fontId="0" fillId="0" borderId="83" xfId="0" applyFont="1" applyBorder="1" applyAlignment="1" applyProtection="1">
      <protection locked="0"/>
    </xf>
    <xf numFmtId="166" fontId="0" fillId="0" borderId="9" xfId="0" applyNumberFormat="1" applyFont="1" applyBorder="1" applyAlignment="1" applyProtection="1">
      <protection locked="0"/>
    </xf>
    <xf numFmtId="0" fontId="0" fillId="5" borderId="19" xfId="0" applyFont="1" applyFill="1" applyBorder="1" applyAlignment="1" applyProtection="1">
      <protection locked="0"/>
    </xf>
    <xf numFmtId="0" fontId="79" fillId="75" borderId="1" xfId="0" applyFont="1" applyFill="1" applyBorder="1" applyAlignment="1">
      <alignment horizontal="center" vertical="center" wrapText="1"/>
    </xf>
    <xf numFmtId="0" fontId="0" fillId="0" borderId="98" xfId="0" applyFont="1" applyBorder="1" applyAlignment="1" applyProtection="1">
      <protection locked="0"/>
    </xf>
    <xf numFmtId="0" fontId="0" fillId="0" borderId="36" xfId="0" applyFont="1" applyBorder="1" applyAlignment="1" applyProtection="1">
      <protection locked="0"/>
    </xf>
    <xf numFmtId="0" fontId="0" fillId="0" borderId="1" xfId="0" applyFont="1" applyBorder="1" applyAlignment="1" applyProtection="1">
      <protection locked="0"/>
    </xf>
    <xf numFmtId="166" fontId="0" fillId="0" borderId="1" xfId="0" applyNumberFormat="1" applyFont="1" applyBorder="1" applyAlignment="1" applyProtection="1">
      <protection locked="0"/>
    </xf>
    <xf numFmtId="166" fontId="0" fillId="0" borderId="37" xfId="0" applyNumberFormat="1" applyFont="1" applyFill="1" applyBorder="1" applyAlignment="1" applyProtection="1">
      <protection locked="0"/>
    </xf>
    <xf numFmtId="166" fontId="0" fillId="0" borderId="1" xfId="0" applyNumberFormat="1" applyFont="1" applyFill="1" applyBorder="1" applyAlignment="1" applyProtection="1">
      <protection locked="0"/>
    </xf>
    <xf numFmtId="0" fontId="0" fillId="0" borderId="92" xfId="0" applyFont="1" applyBorder="1" applyAlignment="1" applyProtection="1">
      <protection locked="0"/>
    </xf>
    <xf numFmtId="0" fontId="0" fillId="5" borderId="62" xfId="0" applyFont="1" applyFill="1" applyBorder="1" applyAlignment="1" applyProtection="1">
      <protection locked="0"/>
    </xf>
    <xf numFmtId="0" fontId="0" fillId="5" borderId="80" xfId="0" applyFont="1" applyFill="1" applyBorder="1" applyAlignment="1" applyProtection="1">
      <protection locked="0"/>
    </xf>
    <xf numFmtId="0" fontId="0" fillId="0" borderId="23" xfId="0" applyFont="1" applyFill="1" applyBorder="1" applyAlignment="1" applyProtection="1">
      <protection locked="0"/>
    </xf>
    <xf numFmtId="0" fontId="0" fillId="0" borderId="74" xfId="0" applyFont="1" applyFill="1" applyBorder="1" applyAlignment="1" applyProtection="1">
      <protection locked="0"/>
    </xf>
    <xf numFmtId="1" fontId="33" fillId="76" borderId="1" xfId="2108" applyNumberFormat="1" applyFont="1" applyFill="1" applyBorder="1" applyAlignment="1" applyProtection="1">
      <alignment horizontal="center"/>
      <protection locked="0"/>
    </xf>
    <xf numFmtId="0" fontId="33" fillId="76" borderId="1" xfId="2108" applyFont="1" applyFill="1" applyBorder="1" applyProtection="1">
      <protection locked="0"/>
    </xf>
    <xf numFmtId="0" fontId="0" fillId="0" borderId="1" xfId="0" applyBorder="1" applyProtection="1">
      <protection locked="0"/>
    </xf>
    <xf numFmtId="171" fontId="0" fillId="0" borderId="1" xfId="0" applyNumberFormat="1" applyBorder="1" applyProtection="1">
      <protection locked="0"/>
    </xf>
    <xf numFmtId="166" fontId="0" fillId="5" borderId="0" xfId="0" applyNumberFormat="1" applyFont="1" applyFill="1" applyBorder="1" applyAlignment="1" applyProtection="1">
      <protection locked="0"/>
    </xf>
    <xf numFmtId="0" fontId="33" fillId="76" borderId="1" xfId="2108" applyFont="1" applyFill="1" applyBorder="1" applyAlignment="1" applyProtection="1">
      <alignment horizontal="center"/>
      <protection locked="0"/>
    </xf>
    <xf numFmtId="0" fontId="100" fillId="71" borderId="15" xfId="0" applyFont="1" applyFill="1" applyBorder="1" applyAlignment="1" applyProtection="1">
      <alignment horizontal="left" vertical="center"/>
      <protection locked="0"/>
    </xf>
    <xf numFmtId="0" fontId="0" fillId="0" borderId="37" xfId="0" applyFont="1" applyBorder="1" applyAlignment="1" applyProtection="1">
      <protection locked="0"/>
    </xf>
    <xf numFmtId="2" fontId="0" fillId="0" borderId="36" xfId="0" applyNumberFormat="1" applyFont="1" applyBorder="1" applyAlignment="1" applyProtection="1">
      <protection locked="0"/>
    </xf>
    <xf numFmtId="9" fontId="0" fillId="0" borderId="37" xfId="2106" applyFont="1" applyFill="1" applyBorder="1" applyAlignment="1" applyProtection="1">
      <protection locked="0"/>
    </xf>
    <xf numFmtId="166" fontId="0" fillId="0" borderId="74" xfId="0" applyNumberFormat="1" applyFont="1" applyFill="1" applyBorder="1" applyAlignment="1" applyProtection="1">
      <protection locked="0"/>
    </xf>
    <xf numFmtId="166" fontId="0" fillId="0" borderId="36" xfId="0" applyNumberFormat="1" applyFont="1" applyBorder="1" applyAlignment="1" applyProtection="1">
      <protection locked="0"/>
    </xf>
    <xf numFmtId="166" fontId="0" fillId="0" borderId="7" xfId="0" applyNumberFormat="1" applyFont="1" applyFill="1" applyBorder="1" applyAlignment="1" applyProtection="1">
      <protection locked="0"/>
    </xf>
    <xf numFmtId="166" fontId="0" fillId="0" borderId="3" xfId="0" applyNumberFormat="1" applyFont="1" applyFill="1" applyBorder="1" applyAlignment="1" applyProtection="1">
      <protection locked="0"/>
    </xf>
    <xf numFmtId="166" fontId="0" fillId="0" borderId="84" xfId="0" applyNumberFormat="1" applyFont="1" applyFill="1" applyBorder="1" applyAlignment="1" applyProtection="1">
      <protection locked="0"/>
    </xf>
    <xf numFmtId="0" fontId="0" fillId="5" borderId="0" xfId="2106" applyNumberFormat="1" applyFont="1" applyFill="1" applyBorder="1" applyAlignment="1" applyProtection="1">
      <protection locked="0"/>
    </xf>
    <xf numFmtId="0" fontId="0" fillId="0" borderId="23" xfId="0" applyFont="1" applyBorder="1" applyAlignment="1" applyProtection="1">
      <protection locked="0"/>
    </xf>
    <xf numFmtId="0" fontId="0" fillId="0" borderId="74" xfId="0" applyFont="1" applyBorder="1" applyAlignment="1" applyProtection="1">
      <protection locked="0"/>
    </xf>
    <xf numFmtId="0" fontId="0" fillId="0" borderId="0" xfId="0" applyFont="1" applyFill="1" applyBorder="1" applyAlignment="1" applyProtection="1">
      <protection hidden="1"/>
    </xf>
    <xf numFmtId="0" fontId="64" fillId="5" borderId="63" xfId="0" applyFont="1" applyFill="1" applyBorder="1" applyAlignment="1" applyProtection="1">
      <protection locked="0"/>
    </xf>
    <xf numFmtId="0" fontId="0" fillId="5" borderId="63" xfId="0" applyFont="1" applyFill="1" applyBorder="1" applyProtection="1">
      <protection locked="0"/>
    </xf>
    <xf numFmtId="9" fontId="0" fillId="5" borderId="0" xfId="2106" applyFont="1" applyFill="1" applyBorder="1" applyAlignment="1" applyProtection="1">
      <protection locked="0"/>
    </xf>
    <xf numFmtId="9" fontId="0" fillId="5" borderId="42" xfId="2106" applyFont="1" applyFill="1" applyBorder="1" applyAlignment="1" applyProtection="1">
      <protection locked="0"/>
    </xf>
    <xf numFmtId="166" fontId="0" fillId="5" borderId="0" xfId="2106" applyNumberFormat="1" applyFont="1" applyFill="1" applyBorder="1" applyAlignment="1" applyProtection="1">
      <protection locked="0"/>
    </xf>
    <xf numFmtId="9" fontId="0" fillId="5" borderId="63" xfId="2106" applyFont="1" applyFill="1" applyBorder="1" applyAlignment="1" applyProtection="1">
      <protection locked="0"/>
    </xf>
    <xf numFmtId="9" fontId="0" fillId="0" borderId="92" xfId="2106" applyFont="1" applyBorder="1" applyAlignment="1" applyProtection="1">
      <protection locked="0"/>
    </xf>
    <xf numFmtId="0" fontId="33" fillId="76" borderId="0" xfId="2108" applyFont="1" applyFill="1" applyBorder="1" applyProtection="1">
      <protection locked="0"/>
    </xf>
    <xf numFmtId="0" fontId="100" fillId="14" borderId="0" xfId="0" applyFont="1" applyFill="1" applyBorder="1" applyAlignment="1" applyProtection="1">
      <alignment horizontal="left" vertical="center" wrapText="1"/>
      <protection locked="0"/>
    </xf>
    <xf numFmtId="0" fontId="0" fillId="71" borderId="23" xfId="0" applyFont="1" applyFill="1" applyBorder="1" applyAlignment="1" applyProtection="1">
      <protection locked="0"/>
    </xf>
    <xf numFmtId="0" fontId="0" fillId="71" borderId="1" xfId="0" applyFont="1" applyFill="1" applyBorder="1" applyAlignment="1" applyProtection="1">
      <protection locked="0"/>
    </xf>
    <xf numFmtId="0" fontId="0" fillId="71" borderId="74" xfId="0" applyFont="1" applyFill="1" applyBorder="1" applyAlignment="1" applyProtection="1">
      <protection locked="0"/>
    </xf>
    <xf numFmtId="0" fontId="0" fillId="0" borderId="34" xfId="0" applyFont="1" applyFill="1" applyBorder="1" applyAlignment="1" applyProtection="1">
      <alignment vertical="center"/>
      <protection locked="0"/>
    </xf>
    <xf numFmtId="0" fontId="0" fillId="0" borderId="98" xfId="0" applyFont="1" applyFill="1" applyBorder="1" applyAlignment="1" applyProtection="1">
      <alignment vertical="center"/>
      <protection locked="0"/>
    </xf>
    <xf numFmtId="2" fontId="0" fillId="0" borderId="36" xfId="0" applyNumberFormat="1" applyFont="1" applyFill="1" applyBorder="1" applyAlignment="1" applyProtection="1">
      <alignment vertical="center"/>
      <protection locked="0"/>
    </xf>
    <xf numFmtId="0" fontId="0" fillId="5" borderId="3" xfId="0" applyFill="1" applyBorder="1" applyProtection="1">
      <protection locked="0"/>
    </xf>
    <xf numFmtId="166" fontId="0" fillId="0" borderId="1" xfId="0" applyNumberFormat="1" applyFont="1" applyFill="1" applyBorder="1" applyAlignment="1" applyProtection="1">
      <alignment vertical="center"/>
      <protection locked="0"/>
    </xf>
    <xf numFmtId="166" fontId="0" fillId="0" borderId="0" xfId="0" applyNumberFormat="1" applyFont="1" applyBorder="1" applyAlignment="1" applyProtection="1">
      <protection locked="0"/>
    </xf>
    <xf numFmtId="2" fontId="0" fillId="0" borderId="1" xfId="0" applyNumberFormat="1" applyFont="1" applyFill="1" applyBorder="1" applyAlignment="1" applyProtection="1">
      <alignment vertical="center"/>
      <protection locked="0"/>
    </xf>
    <xf numFmtId="0" fontId="0" fillId="0" borderId="3" xfId="0" applyBorder="1" applyProtection="1">
      <protection locked="0"/>
    </xf>
    <xf numFmtId="166" fontId="0" fillId="0" borderId="34" xfId="0" applyNumberFormat="1" applyFont="1" applyFill="1" applyBorder="1" applyAlignment="1" applyProtection="1">
      <alignment vertical="center"/>
      <protection locked="0"/>
    </xf>
    <xf numFmtId="166" fontId="0" fillId="0" borderId="37" xfId="0" applyNumberFormat="1" applyFont="1" applyFill="1" applyBorder="1" applyAlignment="1" applyProtection="1">
      <alignment vertical="center"/>
      <protection locked="0"/>
    </xf>
    <xf numFmtId="166" fontId="0" fillId="0" borderId="74" xfId="0" applyNumberFormat="1" applyFont="1" applyFill="1" applyBorder="1" applyAlignment="1" applyProtection="1">
      <alignment vertical="center"/>
      <protection locked="0"/>
    </xf>
    <xf numFmtId="0" fontId="0" fillId="0" borderId="92" xfId="0" applyFont="1" applyFill="1" applyBorder="1" applyAlignment="1" applyProtection="1">
      <alignment vertical="center"/>
      <protection locked="0"/>
    </xf>
    <xf numFmtId="0" fontId="0" fillId="0" borderId="1" xfId="0" applyFont="1" applyFill="1" applyBorder="1" applyAlignment="1" applyProtection="1">
      <protection locked="0"/>
    </xf>
    <xf numFmtId="0" fontId="0" fillId="5" borderId="63" xfId="0" applyFont="1" applyFill="1" applyBorder="1" applyAlignment="1" applyProtection="1">
      <alignment vertical="center"/>
      <protection locked="0"/>
    </xf>
    <xf numFmtId="0" fontId="0" fillId="5" borderId="0" xfId="0" applyFont="1" applyFill="1" applyBorder="1" applyAlignment="1" applyProtection="1">
      <alignment vertical="center"/>
      <protection locked="0"/>
    </xf>
    <xf numFmtId="0" fontId="0" fillId="5" borderId="19" xfId="0" applyFont="1" applyFill="1" applyBorder="1" applyAlignment="1" applyProtection="1">
      <alignment vertical="center"/>
      <protection locked="0"/>
    </xf>
    <xf numFmtId="0" fontId="0" fillId="0" borderId="34" xfId="0" applyFont="1" applyFill="1" applyBorder="1" applyAlignment="1" applyProtection="1">
      <protection locked="0"/>
    </xf>
    <xf numFmtId="0" fontId="0" fillId="0" borderId="98" xfId="0" applyFont="1" applyFill="1" applyBorder="1" applyAlignment="1" applyProtection="1">
      <protection locked="0"/>
    </xf>
    <xf numFmtId="0" fontId="0" fillId="0" borderId="36" xfId="0" applyFont="1" applyFill="1" applyBorder="1" applyAlignment="1" applyProtection="1">
      <protection locked="0"/>
    </xf>
    <xf numFmtId="0" fontId="0" fillId="5" borderId="1" xfId="0" applyFont="1" applyFill="1" applyBorder="1" applyAlignment="1" applyProtection="1">
      <protection locked="0"/>
    </xf>
    <xf numFmtId="9" fontId="0" fillId="0" borderId="1" xfId="2106" applyFont="1" applyFill="1" applyBorder="1" applyAlignment="1" applyProtection="1">
      <protection locked="0"/>
    </xf>
    <xf numFmtId="2" fontId="0" fillId="0" borderId="1" xfId="0" applyNumberFormat="1" applyFont="1" applyFill="1" applyBorder="1" applyAlignment="1" applyProtection="1">
      <protection locked="0"/>
    </xf>
    <xf numFmtId="0" fontId="0" fillId="0" borderId="92" xfId="0" applyFont="1" applyFill="1" applyBorder="1" applyAlignment="1" applyProtection="1">
      <protection locked="0"/>
    </xf>
    <xf numFmtId="2" fontId="16" fillId="0" borderId="1" xfId="2109" applyNumberFormat="1" applyFont="1" applyBorder="1" applyProtection="1">
      <protection locked="0"/>
    </xf>
    <xf numFmtId="0" fontId="16" fillId="0" borderId="37" xfId="2109" applyFont="1" applyBorder="1" applyProtection="1">
      <protection locked="0"/>
    </xf>
    <xf numFmtId="166" fontId="0" fillId="0" borderId="74" xfId="0" applyNumberFormat="1" applyFont="1" applyBorder="1" applyAlignment="1" applyProtection="1">
      <protection locked="0"/>
    </xf>
    <xf numFmtId="2" fontId="16" fillId="0" borderId="23" xfId="2109" applyNumberFormat="1" applyFont="1" applyBorder="1" applyProtection="1">
      <protection locked="0"/>
    </xf>
    <xf numFmtId="0" fontId="16" fillId="0" borderId="1" xfId="2109" applyFont="1" applyBorder="1" applyProtection="1">
      <protection locked="0"/>
    </xf>
    <xf numFmtId="0" fontId="0" fillId="0" borderId="37" xfId="0" applyFont="1" applyFill="1" applyBorder="1" applyAlignment="1" applyProtection="1">
      <protection locked="0"/>
    </xf>
    <xf numFmtId="2" fontId="0" fillId="0" borderId="36" xfId="0" applyNumberFormat="1" applyFont="1" applyFill="1" applyBorder="1" applyAlignment="1" applyProtection="1">
      <protection locked="0"/>
    </xf>
    <xf numFmtId="166" fontId="0" fillId="5" borderId="100" xfId="0" applyNumberFormat="1" applyFont="1" applyFill="1" applyBorder="1" applyAlignment="1" applyProtection="1">
      <protection locked="0"/>
    </xf>
    <xf numFmtId="2" fontId="0" fillId="0" borderId="23" xfId="0" applyNumberFormat="1" applyFont="1" applyFill="1" applyBorder="1" applyAlignment="1" applyProtection="1">
      <protection locked="0"/>
    </xf>
    <xf numFmtId="0" fontId="0" fillId="0" borderId="81" xfId="0" applyFont="1" applyFill="1" applyBorder="1" applyAlignment="1" applyProtection="1">
      <protection locked="0"/>
    </xf>
    <xf numFmtId="0" fontId="0" fillId="0" borderId="82" xfId="0" applyFont="1" applyBorder="1" applyAlignment="1" applyProtection="1">
      <protection locked="0"/>
    </xf>
    <xf numFmtId="0" fontId="0" fillId="0" borderId="63" xfId="0" applyFont="1" applyFill="1" applyBorder="1" applyAlignment="1" applyProtection="1">
      <protection locked="0"/>
    </xf>
    <xf numFmtId="0" fontId="0" fillId="0" borderId="19" xfId="0" applyFont="1" applyBorder="1" applyAlignment="1" applyProtection="1">
      <protection locked="0"/>
    </xf>
    <xf numFmtId="166" fontId="0" fillId="0" borderId="3" xfId="0" applyNumberFormat="1" applyFont="1" applyFill="1" applyBorder="1" applyAlignment="1" applyProtection="1">
      <alignment vertical="center"/>
      <protection locked="0"/>
    </xf>
    <xf numFmtId="0" fontId="0" fillId="0" borderId="148" xfId="0" applyFont="1" applyFill="1" applyBorder="1" applyAlignment="1" applyProtection="1">
      <alignment vertical="center"/>
      <protection locked="0"/>
    </xf>
    <xf numFmtId="0" fontId="64" fillId="5" borderId="0" xfId="0" applyFont="1" applyFill="1" applyBorder="1" applyAlignment="1" applyProtection="1">
      <protection locked="0"/>
    </xf>
    <xf numFmtId="166" fontId="0" fillId="5" borderId="19" xfId="0" applyNumberFormat="1" applyFont="1" applyFill="1" applyBorder="1" applyAlignment="1" applyProtection="1">
      <protection locked="0"/>
    </xf>
    <xf numFmtId="0" fontId="0" fillId="0" borderId="23" xfId="0" applyFont="1" applyFill="1" applyBorder="1" applyAlignment="1" applyProtection="1">
      <alignment vertical="center"/>
      <protection locked="0"/>
    </xf>
    <xf numFmtId="0" fontId="0" fillId="0" borderId="82" xfId="0" applyFont="1" applyFill="1" applyBorder="1" applyAlignment="1" applyProtection="1">
      <protection locked="0"/>
    </xf>
    <xf numFmtId="0" fontId="0" fillId="0" borderId="19" xfId="0" applyFont="1" applyFill="1" applyBorder="1" applyAlignment="1" applyProtection="1">
      <protection locked="0"/>
    </xf>
    <xf numFmtId="2" fontId="0" fillId="5" borderId="72" xfId="0" applyNumberFormat="1" applyFont="1" applyFill="1" applyBorder="1" applyAlignment="1" applyProtection="1">
      <protection locked="0"/>
    </xf>
    <xf numFmtId="9" fontId="0" fillId="0" borderId="8" xfId="2106" applyFont="1" applyBorder="1" applyAlignment="1" applyProtection="1">
      <alignment vertical="center"/>
      <protection locked="0"/>
    </xf>
    <xf numFmtId="0" fontId="16" fillId="0" borderId="83" xfId="0" applyFont="1" applyFill="1" applyBorder="1" applyAlignment="1" applyProtection="1">
      <protection locked="0"/>
    </xf>
    <xf numFmtId="0" fontId="16" fillId="0" borderId="84" xfId="0" applyFont="1" applyFill="1" applyBorder="1" applyAlignment="1" applyProtection="1">
      <protection locked="0"/>
    </xf>
    <xf numFmtId="0" fontId="16" fillId="0" borderId="23" xfId="0" applyFont="1" applyFill="1" applyBorder="1" applyAlignment="1" applyProtection="1">
      <protection locked="0"/>
    </xf>
    <xf numFmtId="0" fontId="16" fillId="0" borderId="74" xfId="0" applyFont="1" applyFill="1" applyBorder="1" applyAlignment="1" applyProtection="1">
      <protection locked="0"/>
    </xf>
    <xf numFmtId="0" fontId="0" fillId="71" borderId="114" xfId="0" applyFont="1" applyFill="1" applyBorder="1" applyAlignment="1" applyProtection="1">
      <protection locked="0"/>
    </xf>
    <xf numFmtId="0" fontId="0" fillId="71" borderId="22" xfId="0" applyFont="1" applyFill="1" applyBorder="1" applyAlignment="1" applyProtection="1">
      <protection locked="0"/>
    </xf>
    <xf numFmtId="166" fontId="0" fillId="71" borderId="114" xfId="0" applyNumberFormat="1" applyFont="1" applyFill="1" applyBorder="1" applyAlignment="1" applyProtection="1">
      <protection locked="0"/>
    </xf>
    <xf numFmtId="0" fontId="0" fillId="71" borderId="60" xfId="0" applyFont="1" applyFill="1" applyBorder="1" applyAlignment="1" applyProtection="1">
      <protection locked="0"/>
    </xf>
    <xf numFmtId="0" fontId="0" fillId="71" borderId="20" xfId="0" applyFont="1" applyFill="1" applyBorder="1" applyAlignment="1" applyProtection="1">
      <protection locked="0"/>
    </xf>
    <xf numFmtId="0" fontId="0" fillId="0" borderId="17" xfId="0" applyFont="1" applyBorder="1" applyAlignment="1" applyProtection="1">
      <protection locked="0"/>
    </xf>
    <xf numFmtId="0" fontId="0" fillId="0" borderId="97" xfId="0" applyFont="1" applyBorder="1" applyAlignment="1" applyProtection="1">
      <protection locked="0"/>
    </xf>
    <xf numFmtId="166" fontId="0" fillId="0" borderId="72" xfId="0" applyNumberFormat="1" applyFont="1" applyFill="1" applyBorder="1" applyAlignment="1" applyProtection="1">
      <protection locked="0"/>
    </xf>
    <xf numFmtId="166" fontId="0" fillId="0" borderId="78" xfId="0" applyNumberFormat="1" applyFont="1" applyFill="1" applyBorder="1" applyAlignment="1" applyProtection="1">
      <protection locked="0"/>
    </xf>
    <xf numFmtId="166" fontId="0" fillId="0" borderId="73" xfId="0" applyNumberFormat="1" applyFont="1" applyFill="1" applyBorder="1" applyAlignment="1" applyProtection="1">
      <protection locked="0"/>
    </xf>
    <xf numFmtId="2" fontId="0" fillId="5" borderId="1" xfId="0" applyNumberFormat="1" applyFont="1" applyFill="1" applyBorder="1" applyAlignment="1" applyProtection="1">
      <protection locked="0"/>
    </xf>
    <xf numFmtId="166" fontId="0" fillId="0" borderId="37" xfId="0" applyNumberFormat="1" applyFont="1" applyBorder="1" applyAlignment="1" applyProtection="1">
      <protection locked="0"/>
    </xf>
    <xf numFmtId="166" fontId="0" fillId="5" borderId="80" xfId="0" applyNumberFormat="1" applyFont="1" applyFill="1" applyBorder="1" applyAlignment="1" applyProtection="1">
      <protection locked="0"/>
    </xf>
    <xf numFmtId="2" fontId="0" fillId="0" borderId="11" xfId="0" applyNumberFormat="1" applyFont="1" applyBorder="1" applyAlignment="1" applyProtection="1">
      <protection locked="0"/>
    </xf>
    <xf numFmtId="166" fontId="0" fillId="0" borderId="9" xfId="0" applyNumberFormat="1" applyFont="1" applyFill="1" applyBorder="1" applyAlignment="1" applyProtection="1">
      <protection locked="0"/>
    </xf>
    <xf numFmtId="0" fontId="0" fillId="0" borderId="83" xfId="0" applyFont="1" applyFill="1" applyBorder="1" applyAlignment="1" applyProtection="1">
      <protection locked="0"/>
    </xf>
    <xf numFmtId="0" fontId="0" fillId="0" borderId="3" xfId="0" applyFont="1" applyFill="1" applyBorder="1" applyAlignment="1" applyProtection="1">
      <protection locked="0"/>
    </xf>
    <xf numFmtId="0" fontId="0" fillId="5" borderId="3" xfId="0" applyFont="1" applyFill="1" applyBorder="1" applyAlignment="1" applyProtection="1">
      <protection locked="0"/>
    </xf>
    <xf numFmtId="0" fontId="0" fillId="0" borderId="3" xfId="0" applyFont="1" applyFill="1" applyBorder="1" applyAlignment="1" applyProtection="1">
      <alignment horizontal="right"/>
      <protection locked="0"/>
    </xf>
    <xf numFmtId="169" fontId="0" fillId="0" borderId="1" xfId="0" applyNumberFormat="1" applyFont="1" applyBorder="1" applyAlignment="1" applyProtection="1">
      <protection locked="0"/>
    </xf>
    <xf numFmtId="169" fontId="0" fillId="0" borderId="74" xfId="0" applyNumberFormat="1" applyFont="1" applyBorder="1" applyAlignment="1" applyProtection="1">
      <protection locked="0"/>
    </xf>
    <xf numFmtId="2" fontId="0" fillId="0" borderId="34" xfId="0" applyNumberFormat="1" applyFont="1" applyFill="1" applyBorder="1" applyAlignment="1" applyProtection="1">
      <alignment vertical="center"/>
      <protection locked="0"/>
    </xf>
    <xf numFmtId="0" fontId="0" fillId="0" borderId="0" xfId="0" applyFill="1" applyProtection="1">
      <protection locked="0"/>
    </xf>
    <xf numFmtId="2" fontId="0" fillId="0" borderId="0" xfId="0" applyNumberFormat="1" applyProtection="1">
      <protection hidden="1"/>
    </xf>
    <xf numFmtId="2" fontId="0" fillId="0" borderId="1" xfId="0" applyNumberFormat="1" applyFont="1" applyBorder="1" applyAlignment="1" applyProtection="1">
      <protection locked="0"/>
    </xf>
    <xf numFmtId="0" fontId="0" fillId="5" borderId="63"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19" xfId="0" applyFont="1" applyFill="1" applyBorder="1" applyAlignment="1" applyProtection="1">
      <alignment horizontal="left" vertical="center"/>
      <protection locked="0"/>
    </xf>
    <xf numFmtId="169" fontId="0" fillId="0" borderId="74" xfId="0" applyNumberFormat="1" applyFont="1" applyFill="1" applyBorder="1" applyAlignment="1" applyProtection="1">
      <protection locked="0"/>
    </xf>
    <xf numFmtId="0" fontId="0" fillId="0" borderId="23" xfId="0" applyFont="1" applyBorder="1" applyAlignment="1" applyProtection="1">
      <protection hidden="1"/>
    </xf>
    <xf numFmtId="0" fontId="0" fillId="0" borderId="74" xfId="0" applyNumberFormat="1" applyFont="1" applyFill="1" applyBorder="1" applyAlignment="1" applyProtection="1">
      <alignment horizontal="right" vertical="center"/>
      <protection locked="0"/>
    </xf>
    <xf numFmtId="0" fontId="0" fillId="0" borderId="0" xfId="0" applyNumberFormat="1" applyProtection="1">
      <protection hidden="1"/>
    </xf>
    <xf numFmtId="166" fontId="0" fillId="0" borderId="1" xfId="0" applyNumberFormat="1" applyFont="1" applyBorder="1" applyAlignment="1" applyProtection="1">
      <alignment horizontal="right" vertical="center"/>
      <protection locked="0"/>
    </xf>
    <xf numFmtId="166" fontId="16" fillId="0" borderId="34" xfId="0" applyNumberFormat="1" applyFont="1" applyBorder="1" applyAlignment="1" applyProtection="1">
      <protection locked="0"/>
    </xf>
    <xf numFmtId="166" fontId="0" fillId="0" borderId="34" xfId="0" applyNumberFormat="1" applyFont="1" applyBorder="1" applyAlignment="1" applyProtection="1">
      <protection locked="0"/>
    </xf>
    <xf numFmtId="2" fontId="0" fillId="0" borderId="1" xfId="0" applyNumberFormat="1" applyFont="1" applyFill="1" applyBorder="1" applyAlignment="1" applyProtection="1">
      <alignment horizontal="right"/>
      <protection locked="0"/>
    </xf>
    <xf numFmtId="166" fontId="0" fillId="0" borderId="1" xfId="0" applyNumberFormat="1" applyFont="1" applyFill="1" applyBorder="1" applyAlignment="1" applyProtection="1">
      <alignment horizontal="right"/>
      <protection locked="0"/>
    </xf>
    <xf numFmtId="166" fontId="0" fillId="0" borderId="74" xfId="0" applyNumberFormat="1" applyFont="1" applyFill="1" applyBorder="1" applyAlignment="1" applyProtection="1">
      <alignment horizontal="right"/>
      <protection locked="0"/>
    </xf>
    <xf numFmtId="0" fontId="0" fillId="5" borderId="147" xfId="0" applyFont="1" applyFill="1" applyBorder="1" applyAlignment="1" applyProtection="1">
      <protection locked="0"/>
    </xf>
    <xf numFmtId="0" fontId="0" fillId="0" borderId="147" xfId="0" applyFont="1" applyFill="1" applyBorder="1" applyAlignment="1" applyProtection="1">
      <protection locked="0"/>
    </xf>
    <xf numFmtId="2" fontId="0" fillId="5" borderId="3" xfId="0" applyNumberFormat="1" applyFill="1" applyBorder="1" applyProtection="1">
      <protection locked="0"/>
    </xf>
    <xf numFmtId="166" fontId="0" fillId="0" borderId="33" xfId="0" applyNumberFormat="1" applyFont="1" applyFill="1" applyBorder="1" applyAlignment="1" applyProtection="1">
      <alignment vertical="center"/>
      <protection locked="0"/>
    </xf>
    <xf numFmtId="2" fontId="0" fillId="5" borderId="80" xfId="0" applyNumberFormat="1" applyFont="1" applyFill="1" applyBorder="1" applyAlignment="1" applyProtection="1">
      <protection locked="0"/>
    </xf>
    <xf numFmtId="166" fontId="0" fillId="5" borderId="80" xfId="0" applyNumberFormat="1" applyFont="1" applyFill="1" applyBorder="1" applyAlignment="1" applyProtection="1">
      <alignment vertical="center"/>
      <protection locked="0"/>
    </xf>
    <xf numFmtId="166" fontId="0" fillId="5" borderId="100" xfId="0" applyNumberFormat="1" applyFont="1" applyFill="1" applyBorder="1" applyAlignment="1" applyProtection="1">
      <alignment vertical="center"/>
      <protection locked="0"/>
    </xf>
    <xf numFmtId="2" fontId="0" fillId="5" borderId="0" xfId="0" applyNumberFormat="1" applyFont="1" applyFill="1" applyBorder="1" applyAlignment="1" applyProtection="1">
      <protection locked="0"/>
    </xf>
    <xf numFmtId="166" fontId="0" fillId="0" borderId="34" xfId="0" applyNumberFormat="1" applyFont="1" applyFill="1" applyBorder="1" applyAlignment="1" applyProtection="1">
      <protection locked="0"/>
    </xf>
    <xf numFmtId="0" fontId="0" fillId="0" borderId="8" xfId="0" applyBorder="1" applyAlignment="1" applyProtection="1">
      <alignment vertical="center"/>
      <protection locked="0"/>
    </xf>
    <xf numFmtId="0" fontId="0" fillId="0" borderId="98" xfId="0" applyFont="1" applyBorder="1" applyAlignment="1" applyProtection="1">
      <alignment vertical="center"/>
      <protection locked="0"/>
    </xf>
    <xf numFmtId="0" fontId="0" fillId="0" borderId="91" xfId="0" applyFont="1" applyBorder="1" applyAlignment="1" applyProtection="1">
      <alignment vertical="center"/>
      <protection locked="0"/>
    </xf>
    <xf numFmtId="0" fontId="0" fillId="0" borderId="91" xfId="0" applyFont="1" applyFill="1" applyBorder="1" applyAlignment="1" applyProtection="1">
      <protection locked="0"/>
    </xf>
    <xf numFmtId="0" fontId="36" fillId="5" borderId="63" xfId="2109" applyFill="1" applyBorder="1" applyProtection="1">
      <protection locked="0"/>
    </xf>
    <xf numFmtId="0" fontId="36" fillId="5" borderId="0" xfId="2109" applyFill="1" applyBorder="1" applyProtection="1">
      <protection locked="0"/>
    </xf>
    <xf numFmtId="2" fontId="27" fillId="0" borderId="122" xfId="0" applyNumberFormat="1" applyFont="1" applyFill="1" applyBorder="1" applyAlignment="1" applyProtection="1">
      <alignment wrapText="1"/>
      <protection locked="0"/>
    </xf>
    <xf numFmtId="0" fontId="0" fillId="0" borderId="72" xfId="0" applyBorder="1" applyAlignment="1" applyProtection="1">
      <alignment vertical="center"/>
      <protection locked="0"/>
    </xf>
    <xf numFmtId="166" fontId="0" fillId="0" borderId="72" xfId="0" applyNumberFormat="1" applyFont="1" applyBorder="1" applyAlignment="1" applyProtection="1">
      <alignment vertical="center"/>
      <protection locked="0"/>
    </xf>
    <xf numFmtId="166" fontId="0" fillId="0" borderId="72" xfId="0" applyNumberFormat="1" applyFont="1" applyBorder="1" applyAlignment="1" applyProtection="1">
      <alignment horizontal="right" vertical="center"/>
      <protection locked="0"/>
    </xf>
    <xf numFmtId="9" fontId="0" fillId="0" borderId="72" xfId="2106" applyFont="1" applyBorder="1" applyAlignment="1" applyProtection="1">
      <alignment vertical="center"/>
      <protection locked="0"/>
    </xf>
    <xf numFmtId="0" fontId="27" fillId="0" borderId="23" xfId="0" applyNumberFormat="1" applyFont="1" applyFill="1" applyBorder="1" applyAlignment="1" applyProtection="1">
      <alignment wrapText="1"/>
      <protection locked="0"/>
    </xf>
    <xf numFmtId="0" fontId="0" fillId="0" borderId="73" xfId="0" applyFont="1" applyBorder="1" applyAlignment="1" applyProtection="1">
      <protection locked="0"/>
    </xf>
    <xf numFmtId="0" fontId="27" fillId="5" borderId="0" xfId="0" applyNumberFormat="1" applyFont="1" applyFill="1" applyBorder="1" applyAlignment="1" applyProtection="1">
      <alignment wrapText="1"/>
      <protection locked="0"/>
    </xf>
    <xf numFmtId="0" fontId="0" fillId="5" borderId="0" xfId="0" applyFill="1" applyBorder="1" applyAlignment="1" applyProtection="1">
      <alignment vertical="center"/>
      <protection locked="0"/>
    </xf>
    <xf numFmtId="166" fontId="0" fillId="5" borderId="0" xfId="0" applyNumberFormat="1" applyFont="1" applyFill="1" applyBorder="1" applyAlignment="1" applyProtection="1">
      <alignment vertical="center"/>
      <protection locked="0"/>
    </xf>
    <xf numFmtId="166" fontId="0" fillId="5" borderId="0" xfId="0" applyNumberFormat="1" applyFont="1" applyFill="1" applyBorder="1" applyAlignment="1" applyProtection="1">
      <alignment horizontal="right" vertical="center"/>
      <protection locked="0"/>
    </xf>
    <xf numFmtId="9" fontId="0" fillId="5" borderId="0" xfId="2106" applyFont="1" applyFill="1" applyBorder="1" applyAlignment="1" applyProtection="1">
      <alignment vertical="center"/>
      <protection locked="0"/>
    </xf>
    <xf numFmtId="2" fontId="0" fillId="0" borderId="12" xfId="0" applyNumberFormat="1" applyFont="1" applyBorder="1" applyAlignment="1" applyProtection="1">
      <protection locked="0"/>
    </xf>
    <xf numFmtId="166" fontId="0" fillId="0" borderId="8" xfId="0" applyNumberFormat="1" applyFont="1" applyBorder="1" applyAlignment="1" applyProtection="1">
      <alignment vertical="center"/>
      <protection locked="0"/>
    </xf>
    <xf numFmtId="166" fontId="0" fillId="0" borderId="33" xfId="0" applyNumberFormat="1" applyFont="1" applyBorder="1" applyAlignment="1" applyProtection="1">
      <alignment horizontal="right" vertical="center"/>
      <protection locked="0"/>
    </xf>
    <xf numFmtId="166" fontId="0" fillId="0" borderId="8" xfId="0" applyNumberFormat="1" applyFont="1" applyFill="1" applyBorder="1" applyAlignment="1" applyProtection="1">
      <protection locked="0"/>
    </xf>
    <xf numFmtId="166" fontId="0" fillId="0" borderId="13" xfId="0" applyNumberFormat="1" applyFont="1" applyFill="1" applyBorder="1" applyAlignment="1" applyProtection="1">
      <protection locked="0"/>
    </xf>
    <xf numFmtId="166" fontId="0" fillId="0" borderId="89" xfId="0" applyNumberFormat="1" applyFont="1" applyFill="1" applyBorder="1" applyAlignment="1" applyProtection="1">
      <protection locked="0"/>
    </xf>
    <xf numFmtId="0" fontId="0" fillId="81" borderId="62" xfId="0" applyFont="1" applyFill="1" applyBorder="1" applyAlignment="1" applyProtection="1">
      <protection locked="0"/>
    </xf>
    <xf numFmtId="0" fontId="0" fillId="81" borderId="147" xfId="0" applyFont="1" applyFill="1" applyBorder="1" applyAlignment="1" applyProtection="1">
      <protection locked="0"/>
    </xf>
    <xf numFmtId="0" fontId="0" fillId="81" borderId="80" xfId="0" applyFill="1" applyBorder="1" applyAlignment="1" applyProtection="1">
      <alignment vertical="center"/>
      <protection locked="0"/>
    </xf>
    <xf numFmtId="166" fontId="0" fillId="81" borderId="80" xfId="0" applyNumberFormat="1" applyFont="1" applyFill="1" applyBorder="1" applyAlignment="1" applyProtection="1">
      <alignment vertical="center"/>
      <protection locked="0"/>
    </xf>
    <xf numFmtId="166" fontId="0" fillId="81" borderId="80" xfId="0" applyNumberFormat="1" applyFont="1" applyFill="1" applyBorder="1" applyAlignment="1" applyProtection="1">
      <alignment horizontal="right" vertical="center"/>
      <protection locked="0"/>
    </xf>
    <xf numFmtId="166" fontId="0" fillId="81" borderId="80" xfId="0" applyNumberFormat="1" applyFont="1" applyFill="1" applyBorder="1" applyAlignment="1" applyProtection="1">
      <protection locked="0"/>
    </xf>
    <xf numFmtId="9" fontId="0" fillId="81" borderId="80" xfId="2106" applyFont="1" applyFill="1" applyBorder="1" applyAlignment="1" applyProtection="1">
      <alignment vertical="center"/>
      <protection locked="0"/>
    </xf>
    <xf numFmtId="166" fontId="0" fillId="81" borderId="100" xfId="0" applyNumberFormat="1" applyFont="1" applyFill="1" applyBorder="1" applyAlignment="1" applyProtection="1">
      <protection locked="0"/>
    </xf>
    <xf numFmtId="0" fontId="64" fillId="0" borderId="1" xfId="0" applyFont="1" applyFill="1" applyBorder="1" applyAlignment="1" applyProtection="1">
      <protection locked="0"/>
    </xf>
    <xf numFmtId="0" fontId="0" fillId="81" borderId="63" xfId="0" applyFont="1" applyFill="1" applyBorder="1" applyAlignment="1" applyProtection="1">
      <protection locked="0"/>
    </xf>
    <xf numFmtId="0" fontId="0" fillId="81" borderId="42" xfId="0" applyFont="1" applyFill="1" applyBorder="1" applyAlignment="1" applyProtection="1">
      <protection locked="0"/>
    </xf>
    <xf numFmtId="0" fontId="0" fillId="81" borderId="0" xfId="0" applyFill="1" applyBorder="1" applyAlignment="1" applyProtection="1">
      <alignment vertical="center"/>
      <protection locked="0"/>
    </xf>
    <xf numFmtId="166" fontId="0" fillId="81" borderId="0" xfId="0" applyNumberFormat="1" applyFont="1" applyFill="1" applyBorder="1" applyAlignment="1" applyProtection="1">
      <alignment vertical="center"/>
      <protection locked="0"/>
    </xf>
    <xf numFmtId="166" fontId="0" fillId="81" borderId="0" xfId="0" applyNumberFormat="1" applyFont="1" applyFill="1" applyBorder="1" applyAlignment="1" applyProtection="1">
      <alignment horizontal="right" vertical="center"/>
      <protection locked="0"/>
    </xf>
    <xf numFmtId="166" fontId="0" fillId="81" borderId="0" xfId="0" applyNumberFormat="1" applyFont="1" applyFill="1" applyBorder="1" applyAlignment="1" applyProtection="1">
      <protection locked="0"/>
    </xf>
    <xf numFmtId="9" fontId="0" fillId="81" borderId="0" xfId="2106" applyFont="1" applyFill="1" applyBorder="1" applyAlignment="1" applyProtection="1">
      <alignment vertical="center"/>
      <protection locked="0"/>
    </xf>
    <xf numFmtId="166" fontId="0" fillId="81" borderId="19" xfId="0" applyNumberFormat="1" applyFont="1" applyFill="1" applyBorder="1" applyAlignment="1" applyProtection="1">
      <protection locked="0"/>
    </xf>
    <xf numFmtId="0" fontId="0" fillId="0" borderId="61" xfId="0" applyFont="1" applyBorder="1" applyAlignment="1" applyProtection="1">
      <protection locked="0"/>
    </xf>
    <xf numFmtId="166" fontId="0" fillId="0" borderId="11" xfId="0" applyNumberFormat="1" applyFont="1" applyBorder="1" applyAlignment="1" applyProtection="1">
      <protection locked="0"/>
    </xf>
    <xf numFmtId="166" fontId="0" fillId="0" borderId="91" xfId="0" applyNumberFormat="1" applyFont="1" applyBorder="1" applyAlignment="1" applyProtection="1">
      <protection locked="0"/>
    </xf>
    <xf numFmtId="0" fontId="0" fillId="0" borderId="84" xfId="0" applyFont="1" applyFill="1" applyBorder="1" applyAlignment="1" applyProtection="1">
      <protection locked="0"/>
    </xf>
    <xf numFmtId="2" fontId="0" fillId="0" borderId="71" xfId="0" applyNumberFormat="1" applyFont="1" applyBorder="1" applyAlignment="1" applyProtection="1">
      <protection locked="0"/>
    </xf>
    <xf numFmtId="0" fontId="0" fillId="0" borderId="72" xfId="0" applyFont="1" applyBorder="1" applyAlignment="1" applyProtection="1">
      <alignment vertical="center"/>
      <protection locked="0"/>
    </xf>
    <xf numFmtId="2" fontId="0" fillId="0" borderId="23" xfId="0" applyNumberFormat="1" applyFont="1" applyBorder="1" applyAlignment="1" applyProtection="1">
      <protection locked="0"/>
    </xf>
    <xf numFmtId="166" fontId="0" fillId="0" borderId="1" xfId="0" applyNumberFormat="1" applyFont="1" applyBorder="1" applyAlignment="1" applyProtection="1">
      <alignment vertical="center"/>
      <protection locked="0"/>
    </xf>
    <xf numFmtId="166" fontId="0" fillId="0" borderId="36" xfId="0" applyNumberFormat="1" applyFont="1" applyFill="1" applyBorder="1" applyAlignment="1" applyProtection="1">
      <protection locked="0"/>
    </xf>
    <xf numFmtId="0" fontId="0" fillId="0" borderId="63" xfId="0" applyFont="1" applyBorder="1" applyAlignment="1" applyProtection="1">
      <protection locked="0"/>
    </xf>
    <xf numFmtId="166" fontId="0" fillId="0" borderId="88" xfId="0" applyNumberFormat="1" applyFont="1" applyBorder="1" applyAlignment="1" applyProtection="1">
      <protection locked="0"/>
    </xf>
    <xf numFmtId="166" fontId="0" fillId="0" borderId="84" xfId="0" applyNumberFormat="1" applyFont="1" applyBorder="1" applyAlignment="1" applyProtection="1">
      <protection locked="0"/>
    </xf>
    <xf numFmtId="0" fontId="36" fillId="0" borderId="23" xfId="2109" applyBorder="1" applyProtection="1">
      <protection locked="0"/>
    </xf>
    <xf numFmtId="0" fontId="36" fillId="0" borderId="1" xfId="2109" applyBorder="1" applyProtection="1">
      <protection locked="0"/>
    </xf>
    <xf numFmtId="2" fontId="0" fillId="0" borderId="3" xfId="0" applyNumberFormat="1" applyFont="1" applyBorder="1" applyAlignment="1" applyProtection="1">
      <protection locked="0"/>
    </xf>
    <xf numFmtId="2" fontId="0" fillId="0" borderId="23" xfId="0" applyNumberFormat="1" applyBorder="1" applyProtection="1">
      <protection locked="0"/>
    </xf>
    <xf numFmtId="164" fontId="0" fillId="0" borderId="1" xfId="0" applyNumberFormat="1" applyBorder="1" applyProtection="1">
      <protection locked="0"/>
    </xf>
    <xf numFmtId="0" fontId="0" fillId="0" borderId="74" xfId="0" applyBorder="1" applyProtection="1">
      <protection locked="0"/>
    </xf>
    <xf numFmtId="2" fontId="0" fillId="0" borderId="23" xfId="0" applyNumberFormat="1" applyFill="1" applyBorder="1" applyProtection="1">
      <protection locked="0"/>
    </xf>
    <xf numFmtId="164" fontId="0" fillId="0" borderId="1" xfId="0" applyNumberFormat="1" applyFill="1" applyBorder="1" applyProtection="1">
      <protection locked="0"/>
    </xf>
    <xf numFmtId="0" fontId="0" fillId="0" borderId="1" xfId="0" applyFill="1" applyBorder="1" applyProtection="1">
      <protection locked="0"/>
    </xf>
    <xf numFmtId="0" fontId="0" fillId="0" borderId="74" xfId="0" applyFill="1" applyBorder="1" applyProtection="1">
      <protection locked="0"/>
    </xf>
    <xf numFmtId="166" fontId="0" fillId="0" borderId="74" xfId="0" applyNumberFormat="1" applyFont="1" applyBorder="1" applyAlignment="1" applyProtection="1">
      <alignment vertical="center"/>
      <protection locked="0"/>
    </xf>
    <xf numFmtId="0" fontId="0" fillId="0" borderId="0" xfId="0" applyFont="1" applyAlignment="1" applyProtection="1">
      <alignment horizontal="left"/>
      <protection locked="0"/>
    </xf>
    <xf numFmtId="0" fontId="0" fillId="0" borderId="0" xfId="0" applyFont="1" applyBorder="1" applyAlignment="1" applyProtection="1">
      <protection locked="0"/>
    </xf>
    <xf numFmtId="0" fontId="0" fillId="0" borderId="42" xfId="0" applyFont="1" applyBorder="1" applyAlignment="1" applyProtection="1">
      <protection locked="0"/>
    </xf>
    <xf numFmtId="8" fontId="0" fillId="0" borderId="72" xfId="1" applyNumberFormat="1" applyFont="1" applyBorder="1"/>
    <xf numFmtId="8" fontId="0" fillId="0" borderId="1" xfId="1" applyNumberFormat="1" applyFont="1" applyBorder="1"/>
    <xf numFmtId="8" fontId="0" fillId="0" borderId="76" xfId="1" applyNumberFormat="1" applyFont="1" applyBorder="1"/>
    <xf numFmtId="44" fontId="0" fillId="77" borderId="76" xfId="1" applyFont="1" applyFill="1" applyBorder="1"/>
    <xf numFmtId="44" fontId="0" fillId="0" borderId="8" xfId="1" applyFont="1" applyBorder="1"/>
    <xf numFmtId="2" fontId="92" fillId="7" borderId="1" xfId="0" applyNumberFormat="1" applyFont="1" applyFill="1" applyBorder="1" applyAlignment="1">
      <alignment vertical="center" wrapText="1"/>
    </xf>
    <xf numFmtId="44" fontId="4" fillId="0" borderId="37" xfId="1" applyFont="1" applyBorder="1" applyAlignment="1">
      <alignment horizontal="center" vertical="center" wrapText="1"/>
    </xf>
    <xf numFmtId="0" fontId="17" fillId="2" borderId="34" xfId="0" applyFont="1" applyFill="1" applyBorder="1" applyAlignment="1">
      <alignment vertical="center" wrapText="1"/>
    </xf>
    <xf numFmtId="0" fontId="4" fillId="0" borderId="1" xfId="0" applyFont="1" applyBorder="1" applyAlignment="1">
      <alignment horizontal="center" vertical="center" wrapText="1"/>
    </xf>
    <xf numFmtId="170" fontId="0" fillId="7" borderId="1" xfId="0" applyNumberFormat="1" applyFill="1" applyBorder="1"/>
    <xf numFmtId="170" fontId="8" fillId="7" borderId="1" xfId="0" applyNumberFormat="1" applyFont="1" applyFill="1" applyBorder="1" applyAlignment="1">
      <alignment horizontal="center" vertical="center"/>
    </xf>
    <xf numFmtId="170" fontId="8" fillId="7" borderId="3" xfId="0" applyNumberFormat="1" applyFont="1" applyFill="1" applyBorder="1" applyAlignment="1">
      <alignment horizontal="center" vertical="center"/>
    </xf>
    <xf numFmtId="0" fontId="4" fillId="0" borderId="76" xfId="0" applyFont="1" applyBorder="1" applyAlignment="1">
      <alignment vertical="center" wrapText="1"/>
    </xf>
    <xf numFmtId="0" fontId="4" fillId="0" borderId="76" xfId="0" applyFont="1" applyBorder="1" applyAlignment="1">
      <alignment horizontal="center" vertical="center" wrapText="1"/>
    </xf>
    <xf numFmtId="0" fontId="2" fillId="2" borderId="1" xfId="0" applyFont="1" applyFill="1" applyBorder="1" applyAlignment="1"/>
    <xf numFmtId="0" fontId="2" fillId="2" borderId="74" xfId="0" applyFont="1" applyFill="1" applyBorder="1" applyAlignment="1">
      <alignment wrapText="1"/>
    </xf>
    <xf numFmtId="0" fontId="2" fillId="2" borderId="1" xfId="0" applyFont="1" applyFill="1" applyBorder="1" applyAlignment="1">
      <alignment horizontal="center" vertical="center" wrapText="1"/>
    </xf>
    <xf numFmtId="0" fontId="6" fillId="0" borderId="1" xfId="0" applyFont="1" applyBorder="1" applyAlignment="1">
      <alignment horizontal="center" wrapText="1"/>
    </xf>
    <xf numFmtId="0" fontId="17" fillId="7" borderId="1" xfId="0" applyFont="1" applyFill="1" applyBorder="1" applyAlignment="1">
      <alignment horizontal="center" vertical="center" wrapText="1"/>
    </xf>
    <xf numFmtId="0" fontId="19" fillId="0" borderId="0" xfId="0" applyFont="1" applyAlignment="1">
      <alignment horizontal="center" wrapText="1"/>
    </xf>
    <xf numFmtId="0" fontId="7" fillId="4" borderId="1" xfId="0" applyFont="1" applyFill="1" applyBorder="1" applyAlignment="1">
      <alignment horizontal="center" vertical="center" wrapText="1"/>
    </xf>
    <xf numFmtId="170" fontId="6" fillId="0" borderId="1" xfId="0" applyNumberFormat="1" applyFont="1" applyBorder="1" applyAlignment="1">
      <alignment horizontal="left" indent="4"/>
    </xf>
    <xf numFmtId="170" fontId="6" fillId="0" borderId="74" xfId="0" applyNumberFormat="1" applyFont="1" applyBorder="1" applyAlignment="1">
      <alignment horizontal="left" indent="4"/>
    </xf>
    <xf numFmtId="170" fontId="6" fillId="0" borderId="76" xfId="0" applyNumberFormat="1" applyFont="1" applyBorder="1" applyAlignment="1">
      <alignment horizontal="left" indent="4"/>
    </xf>
    <xf numFmtId="170" fontId="6" fillId="0" borderId="77" xfId="0" applyNumberFormat="1" applyFont="1" applyBorder="1" applyAlignment="1">
      <alignment horizontal="left" indent="4"/>
    </xf>
    <xf numFmtId="170" fontId="6" fillId="0" borderId="74" xfId="0" applyNumberFormat="1" applyFont="1" applyBorder="1"/>
    <xf numFmtId="170" fontId="6" fillId="0" borderId="77" xfId="0" applyNumberFormat="1" applyFont="1" applyBorder="1"/>
    <xf numFmtId="0" fontId="0" fillId="6" borderId="1" xfId="0" applyFont="1" applyFill="1" applyBorder="1" applyAlignment="1">
      <alignment vertical="center" wrapText="1"/>
    </xf>
    <xf numFmtId="0" fontId="0" fillId="78" borderId="1" xfId="0" applyFill="1" applyBorder="1"/>
    <xf numFmtId="0" fontId="0" fillId="78" borderId="1" xfId="0" applyFill="1" applyBorder="1" applyAlignment="1">
      <alignment horizontal="center" wrapText="1"/>
    </xf>
    <xf numFmtId="0" fontId="0" fillId="78" borderId="1" xfId="0" applyFont="1" applyFill="1" applyBorder="1" applyAlignment="1">
      <alignment vertical="center" wrapText="1"/>
    </xf>
    <xf numFmtId="0" fontId="0" fillId="78" borderId="1" xfId="0" applyFont="1" applyFill="1" applyBorder="1" applyAlignment="1">
      <alignment horizontal="center" vertical="center" wrapText="1"/>
    </xf>
    <xf numFmtId="0" fontId="0" fillId="78" borderId="1" xfId="0" applyFill="1" applyBorder="1" applyAlignment="1">
      <alignment wrapText="1"/>
    </xf>
    <xf numFmtId="44" fontId="92" fillId="78" borderId="1" xfId="1" applyFont="1" applyFill="1" applyBorder="1" applyAlignment="1">
      <alignment horizontal="center" wrapText="1"/>
    </xf>
    <xf numFmtId="2" fontId="92" fillId="78" borderId="1" xfId="0" applyNumberFormat="1" applyFont="1" applyFill="1" applyBorder="1" applyAlignment="1">
      <alignment horizontal="left" vertical="center" wrapText="1"/>
    </xf>
    <xf numFmtId="44" fontId="91" fillId="78" borderId="1" xfId="1" applyFont="1" applyFill="1" applyBorder="1" applyAlignment="1">
      <alignment horizontal="center" wrapText="1"/>
    </xf>
    <xf numFmtId="0" fontId="7" fillId="4" borderId="1" xfId="0" applyFont="1" applyFill="1" applyBorder="1" applyAlignment="1">
      <alignment vertical="center" wrapText="1"/>
    </xf>
    <xf numFmtId="170" fontId="0" fillId="0" borderId="1" xfId="1" applyNumberFormat="1" applyFont="1" applyFill="1" applyBorder="1"/>
    <xf numFmtId="0" fontId="7" fillId="2" borderId="1" xfId="0" applyFont="1" applyFill="1" applyBorder="1"/>
    <xf numFmtId="0" fontId="7" fillId="5" borderId="1" xfId="0" applyFont="1" applyFill="1" applyBorder="1" applyAlignment="1">
      <alignment horizontal="center" vertical="center" wrapText="1"/>
    </xf>
    <xf numFmtId="0" fontId="7" fillId="5" borderId="1" xfId="0" applyFont="1" applyFill="1" applyBorder="1"/>
    <xf numFmtId="0" fontId="8" fillId="0" borderId="33" xfId="0" applyFont="1" applyFill="1" applyBorder="1" applyAlignment="1">
      <alignment horizontal="center" vertical="center"/>
    </xf>
    <xf numFmtId="0" fontId="8" fillId="0" borderId="33" xfId="0" applyFont="1" applyBorder="1" applyAlignment="1">
      <alignment horizontal="center" vertical="center"/>
    </xf>
    <xf numFmtId="44" fontId="8" fillId="0" borderId="33" xfId="1" applyFont="1" applyBorder="1" applyAlignment="1">
      <alignment horizontal="center" vertical="center"/>
    </xf>
    <xf numFmtId="44" fontId="8" fillId="7" borderId="33" xfId="1" applyFont="1" applyFill="1" applyBorder="1" applyAlignment="1">
      <alignment horizontal="center" vertical="center"/>
    </xf>
    <xf numFmtId="0" fontId="8" fillId="7" borderId="33" xfId="0" applyFont="1" applyFill="1" applyBorder="1" applyAlignment="1">
      <alignment horizontal="center" vertical="center"/>
    </xf>
    <xf numFmtId="44" fontId="8" fillId="7" borderId="33" xfId="0" applyNumberFormat="1" applyFont="1" applyFill="1" applyBorder="1" applyAlignment="1">
      <alignment horizontal="center" vertical="center"/>
    </xf>
    <xf numFmtId="44" fontId="0" fillId="0" borderId="33" xfId="1" applyFont="1" applyBorder="1"/>
    <xf numFmtId="170" fontId="8" fillId="7" borderId="33" xfId="0" applyNumberFormat="1" applyFont="1" applyFill="1" applyBorder="1" applyAlignment="1">
      <alignment horizontal="center" vertical="center"/>
    </xf>
    <xf numFmtId="170" fontId="0" fillId="7" borderId="33" xfId="0" applyNumberFormat="1" applyFill="1" applyBorder="1"/>
    <xf numFmtId="170" fontId="0" fillId="0" borderId="0" xfId="1" applyNumberFormat="1" applyFont="1" applyFill="1" applyBorder="1" applyAlignment="1">
      <alignment horizontal="center" vertical="center" wrapText="1"/>
    </xf>
    <xf numFmtId="170" fontId="0" fillId="0" borderId="0" xfId="1" applyNumberFormat="1" applyFont="1" applyFill="1" applyBorder="1" applyAlignment="1">
      <alignment vertical="center" wrapText="1"/>
    </xf>
    <xf numFmtId="170" fontId="0" fillId="0" borderId="0" xfId="1" applyNumberFormat="1" applyFont="1" applyBorder="1" applyAlignment="1">
      <alignment horizontal="center" vertical="center"/>
    </xf>
    <xf numFmtId="170" fontId="0" fillId="0" borderId="0" xfId="1" applyNumberFormat="1" applyFont="1" applyBorder="1"/>
    <xf numFmtId="170" fontId="0" fillId="0" borderId="0" xfId="1" applyNumberFormat="1" applyFont="1" applyFill="1" applyBorder="1" applyAlignment="1">
      <alignment horizontal="right" vertical="center"/>
    </xf>
    <xf numFmtId="0" fontId="15" fillId="5" borderId="1" xfId="0" applyFont="1" applyFill="1" applyBorder="1" applyAlignment="1">
      <alignment horizontal="center" vertical="center" wrapText="1"/>
    </xf>
    <xf numFmtId="44" fontId="94" fillId="5" borderId="1" xfId="1" applyFont="1" applyFill="1" applyBorder="1" applyAlignment="1">
      <alignment horizontal="center" wrapText="1"/>
    </xf>
    <xf numFmtId="2" fontId="94" fillId="5" borderId="1" xfId="0" applyNumberFormat="1" applyFont="1" applyFill="1" applyBorder="1" applyAlignment="1">
      <alignment horizontal="center" vertical="center" wrapText="1"/>
    </xf>
    <xf numFmtId="0" fontId="6" fillId="5" borderId="1" xfId="0" applyFont="1" applyFill="1" applyBorder="1" applyAlignment="1">
      <alignment horizontal="center" wrapText="1"/>
    </xf>
    <xf numFmtId="0" fontId="0" fillId="5" borderId="1" xfId="0" applyFont="1" applyFill="1" applyBorder="1" applyAlignment="1">
      <alignment wrapText="1"/>
    </xf>
    <xf numFmtId="0" fontId="7" fillId="5" borderId="1" xfId="0" applyFont="1" applyFill="1" applyBorder="1" applyAlignment="1">
      <alignment vertical="center"/>
    </xf>
    <xf numFmtId="0" fontId="3" fillId="0" borderId="33" xfId="2" applyBorder="1" applyAlignment="1">
      <alignment wrapText="1"/>
    </xf>
    <xf numFmtId="0" fontId="18" fillId="0" borderId="1" xfId="0" applyFont="1" applyFill="1" applyBorder="1" applyAlignment="1">
      <alignment vertical="top" wrapText="1"/>
    </xf>
    <xf numFmtId="0" fontId="18" fillId="0" borderId="1" xfId="0" quotePrefix="1" applyFont="1" applyFill="1" applyBorder="1" applyAlignment="1">
      <alignment horizontal="left" vertical="top" wrapText="1"/>
    </xf>
    <xf numFmtId="0" fontId="98" fillId="0" borderId="1" xfId="0" quotePrefix="1" applyFont="1" applyFill="1" applyBorder="1" applyAlignment="1">
      <alignment horizontal="left" vertical="top" wrapText="1"/>
    </xf>
    <xf numFmtId="0" fontId="18" fillId="0" borderId="1" xfId="0" applyFont="1" applyFill="1" applyBorder="1" applyAlignment="1">
      <alignment horizontal="left" vertical="top" wrapText="1"/>
    </xf>
    <xf numFmtId="0" fontId="98" fillId="0" borderId="1" xfId="0" applyFont="1" applyFill="1" applyBorder="1" applyAlignment="1">
      <alignment horizontal="left" vertical="top" wrapText="1"/>
    </xf>
    <xf numFmtId="0" fontId="90" fillId="0" borderId="1" xfId="2" applyFont="1" applyFill="1" applyBorder="1" applyAlignment="1">
      <alignment horizontal="left" vertical="top" wrapText="1"/>
    </xf>
    <xf numFmtId="0" fontId="106" fillId="0" borderId="1" xfId="0" applyFont="1" applyFill="1" applyBorder="1" applyAlignment="1">
      <alignment horizontal="left" vertical="top" wrapText="1"/>
    </xf>
    <xf numFmtId="0" fontId="98" fillId="0" borderId="1" xfId="2" applyFont="1" applyFill="1" applyBorder="1" applyAlignment="1">
      <alignment horizontal="left" vertical="top" wrapText="1"/>
    </xf>
    <xf numFmtId="0" fontId="108" fillId="0" borderId="1" xfId="0" applyFont="1" applyFill="1" applyBorder="1" applyAlignment="1">
      <alignment horizontal="left" vertical="top" wrapText="1"/>
    </xf>
    <xf numFmtId="8" fontId="18" fillId="0" borderId="1" xfId="0" applyNumberFormat="1" applyFont="1" applyFill="1" applyBorder="1" applyAlignment="1">
      <alignment vertical="top" wrapText="1"/>
    </xf>
    <xf numFmtId="0" fontId="90" fillId="0" borderId="1" xfId="2" applyFont="1" applyFill="1" applyBorder="1" applyAlignment="1">
      <alignment vertical="top" wrapText="1"/>
    </xf>
    <xf numFmtId="8" fontId="90" fillId="0" borderId="1" xfId="2" quotePrefix="1" applyNumberFormat="1" applyFont="1" applyFill="1" applyBorder="1" applyAlignment="1">
      <alignment vertical="top" wrapText="1"/>
    </xf>
    <xf numFmtId="0" fontId="18" fillId="0" borderId="1" xfId="0" applyFont="1" applyFill="1" applyBorder="1" applyAlignment="1">
      <alignment vertical="top"/>
    </xf>
    <xf numFmtId="0" fontId="106" fillId="0" borderId="1" xfId="0" applyFont="1" applyBorder="1" applyAlignment="1">
      <alignment vertical="top" wrapText="1"/>
    </xf>
    <xf numFmtId="7" fontId="18" fillId="0" borderId="1" xfId="0" applyNumberFormat="1" applyFont="1" applyFill="1" applyBorder="1" applyAlignment="1">
      <alignment horizontal="right" vertical="top" wrapText="1"/>
    </xf>
    <xf numFmtId="0" fontId="107" fillId="0" borderId="1" xfId="0" applyFont="1" applyFill="1" applyBorder="1" applyAlignment="1">
      <alignment vertical="top" wrapText="1"/>
    </xf>
    <xf numFmtId="44" fontId="18" fillId="0" borderId="1" xfId="0" applyNumberFormat="1" applyFont="1" applyFill="1" applyBorder="1" applyAlignment="1">
      <alignment horizontal="left" vertical="top" wrapText="1"/>
    </xf>
    <xf numFmtId="6" fontId="90" fillId="0" borderId="1" xfId="2" applyNumberFormat="1" applyFont="1" applyFill="1" applyBorder="1" applyAlignment="1">
      <alignment horizontal="left" vertical="top" wrapText="1"/>
    </xf>
    <xf numFmtId="0" fontId="106" fillId="0" borderId="1" xfId="0" applyFont="1" applyFill="1" applyBorder="1" applyAlignment="1">
      <alignment vertical="top" wrapText="1"/>
    </xf>
    <xf numFmtId="44" fontId="18" fillId="0" borderId="1" xfId="1" applyFont="1" applyFill="1" applyBorder="1" applyAlignment="1">
      <alignment vertical="top" wrapText="1"/>
    </xf>
    <xf numFmtId="44" fontId="18" fillId="0" borderId="1" xfId="1" applyFont="1" applyFill="1" applyBorder="1" applyAlignment="1">
      <alignment horizontal="center" vertical="top" wrapText="1"/>
    </xf>
    <xf numFmtId="44" fontId="18" fillId="0" borderId="1" xfId="1" applyNumberFormat="1" applyFont="1" applyFill="1" applyBorder="1" applyAlignment="1">
      <alignment horizontal="left" vertical="top" wrapText="1"/>
    </xf>
    <xf numFmtId="0" fontId="68" fillId="82" borderId="1" xfId="0" applyFont="1" applyFill="1" applyBorder="1" applyAlignment="1">
      <alignment horizontal="center" wrapText="1"/>
    </xf>
    <xf numFmtId="0" fontId="19" fillId="0" borderId="1" xfId="0" applyFont="1" applyFill="1" applyBorder="1" applyAlignment="1">
      <alignment horizontal="left" vertical="top" wrapText="1"/>
    </xf>
    <xf numFmtId="0" fontId="87" fillId="0" borderId="1" xfId="2" applyFont="1" applyFill="1" applyBorder="1" applyAlignment="1">
      <alignment horizontal="left" vertical="top" wrapText="1"/>
    </xf>
    <xf numFmtId="0" fontId="86" fillId="0" borderId="1" xfId="0" applyFont="1" applyFill="1" applyBorder="1" applyAlignment="1">
      <alignment horizontal="left" vertical="top" wrapText="1"/>
    </xf>
    <xf numFmtId="0" fontId="19" fillId="0" borderId="1" xfId="0" applyFont="1" applyFill="1" applyBorder="1" applyAlignment="1">
      <alignment vertical="top" wrapText="1"/>
    </xf>
    <xf numFmtId="0" fontId="86" fillId="0" borderId="1" xfId="2" applyFont="1" applyFill="1" applyBorder="1" applyAlignment="1">
      <alignment horizontal="left" vertical="top" wrapText="1"/>
    </xf>
    <xf numFmtId="0" fontId="0" fillId="2" borderId="1" xfId="0" applyFill="1" applyBorder="1" applyAlignment="1">
      <alignment wrapText="1"/>
    </xf>
    <xf numFmtId="0" fontId="0" fillId="2" borderId="1" xfId="0" applyFont="1" applyFill="1" applyBorder="1" applyAlignment="1">
      <alignment vertical="center"/>
    </xf>
    <xf numFmtId="0" fontId="0" fillId="2" borderId="1" xfId="0" applyFont="1" applyFill="1" applyBorder="1"/>
    <xf numFmtId="0" fontId="0" fillId="2" borderId="1" xfId="0" applyFont="1" applyFill="1" applyBorder="1" applyAlignment="1">
      <alignment horizontal="center" vertical="center"/>
    </xf>
    <xf numFmtId="44" fontId="0" fillId="72" borderId="1" xfId="0" applyNumberFormat="1" applyFont="1" applyFill="1" applyBorder="1"/>
    <xf numFmtId="44" fontId="0" fillId="0" borderId="0" xfId="1" applyFont="1"/>
    <xf numFmtId="44" fontId="0" fillId="0" borderId="0" xfId="1" applyFont="1" applyAlignment="1">
      <alignment horizontal="center" vertical="center"/>
    </xf>
    <xf numFmtId="0" fontId="0" fillId="2" borderId="1" xfId="0" applyFill="1" applyBorder="1"/>
    <xf numFmtId="0" fontId="0" fillId="2" borderId="1" xfId="0" applyFill="1" applyBorder="1" applyAlignment="1">
      <alignment horizontal="center" vertical="top"/>
    </xf>
    <xf numFmtId="0" fontId="109" fillId="4" borderId="1" xfId="0" applyFont="1" applyFill="1" applyBorder="1" applyAlignment="1">
      <alignment vertical="center" wrapText="1"/>
    </xf>
    <xf numFmtId="0" fontId="22" fillId="0" borderId="68" xfId="1" applyNumberFormat="1" applyFont="1" applyBorder="1" applyAlignment="1">
      <alignment vertical="center"/>
    </xf>
    <xf numFmtId="44" fontId="22" fillId="0" borderId="1" xfId="1" applyFont="1" applyBorder="1" applyAlignment="1">
      <alignment horizontal="center" vertical="center"/>
    </xf>
    <xf numFmtId="8" fontId="22" fillId="0" borderId="1" xfId="0" applyNumberFormat="1" applyFont="1" applyBorder="1" applyAlignment="1">
      <alignment horizontal="center" vertical="center"/>
    </xf>
    <xf numFmtId="0" fontId="22" fillId="0" borderId="1" xfId="0" applyFont="1" applyBorder="1" applyAlignment="1">
      <alignment horizontal="left" vertical="center"/>
    </xf>
    <xf numFmtId="0" fontId="87" fillId="0" borderId="1" xfId="2" quotePrefix="1" applyFont="1" applyFill="1" applyBorder="1" applyAlignment="1">
      <alignment horizontal="left" vertical="top" wrapText="1"/>
    </xf>
    <xf numFmtId="0" fontId="86" fillId="0" borderId="0" xfId="0" applyFont="1" applyFill="1" applyAlignment="1">
      <alignment wrapText="1"/>
    </xf>
    <xf numFmtId="6" fontId="87" fillId="0" borderId="1" xfId="2"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6" fontId="90" fillId="0" borderId="1" xfId="2" applyNumberFormat="1" applyFont="1" applyFill="1" applyBorder="1" applyAlignment="1">
      <alignment horizontal="center" vertical="top" wrapText="1"/>
    </xf>
    <xf numFmtId="0" fontId="87" fillId="0" borderId="1" xfId="2" applyFont="1" applyFill="1" applyBorder="1" applyAlignment="1">
      <alignment vertical="top" wrapText="1"/>
    </xf>
    <xf numFmtId="0" fontId="0" fillId="13" borderId="23" xfId="0" applyFill="1" applyBorder="1" applyAlignment="1">
      <alignment horizontal="center" vertical="center" wrapText="1"/>
    </xf>
    <xf numFmtId="0" fontId="0" fillId="13" borderId="1" xfId="0" applyFill="1" applyBorder="1" applyAlignment="1">
      <alignment horizontal="center" vertical="center" wrapText="1"/>
    </xf>
    <xf numFmtId="0" fontId="0" fillId="13" borderId="74" xfId="0" applyFill="1" applyBorder="1" applyAlignment="1">
      <alignment horizontal="center" vertical="center" wrapText="1"/>
    </xf>
    <xf numFmtId="44" fontId="6" fillId="0" borderId="1" xfId="0" applyNumberFormat="1" applyFont="1" applyBorder="1" applyAlignment="1">
      <alignment horizontal="center"/>
    </xf>
    <xf numFmtId="170" fontId="6" fillId="0" borderId="1" xfId="0" applyNumberFormat="1" applyFont="1" applyBorder="1" applyAlignment="1">
      <alignment horizontal="center"/>
    </xf>
    <xf numFmtId="170" fontId="6" fillId="0" borderId="76" xfId="0" applyNumberFormat="1" applyFont="1" applyBorder="1" applyAlignment="1">
      <alignment horizontal="center"/>
    </xf>
    <xf numFmtId="0" fontId="110" fillId="8" borderId="74" xfId="0" applyFont="1" applyFill="1" applyBorder="1" applyAlignment="1">
      <alignment horizontal="center" wrapText="1"/>
    </xf>
    <xf numFmtId="6" fontId="111" fillId="0" borderId="74" xfId="0" applyNumberFormat="1" applyFont="1" applyBorder="1" applyAlignment="1">
      <alignment horizontal="center" vertical="center" wrapText="1"/>
    </xf>
    <xf numFmtId="0" fontId="13" fillId="0" borderId="98" xfId="0" applyFont="1" applyBorder="1" applyAlignment="1">
      <alignment horizontal="left" wrapText="1"/>
    </xf>
    <xf numFmtId="9" fontId="13" fillId="0" borderId="1" xfId="0" applyNumberFormat="1" applyFont="1" applyBorder="1"/>
    <xf numFmtId="0" fontId="13" fillId="0" borderId="1" xfId="1" applyNumberFormat="1" applyFont="1" applyBorder="1" applyAlignment="1">
      <alignment horizontal="center" vertical="center" wrapText="1"/>
    </xf>
    <xf numFmtId="44" fontId="13" fillId="0" borderId="1" xfId="1" applyFont="1" applyBorder="1" applyAlignment="1">
      <alignment horizontal="center" vertical="center" wrapText="1"/>
    </xf>
    <xf numFmtId="44" fontId="13" fillId="0" borderId="1" xfId="1" applyFont="1" applyBorder="1"/>
    <xf numFmtId="44" fontId="13" fillId="0" borderId="74" xfId="1" applyFont="1" applyBorder="1"/>
    <xf numFmtId="44" fontId="13" fillId="0" borderId="1" xfId="1" applyNumberFormat="1" applyFont="1" applyBorder="1" applyAlignment="1">
      <alignment horizontal="center" vertical="center" wrapText="1"/>
    </xf>
    <xf numFmtId="44" fontId="15" fillId="13" borderId="48" xfId="1" applyFont="1" applyFill="1" applyBorder="1" applyAlignment="1">
      <alignment horizontal="center" wrapText="1"/>
    </xf>
    <xf numFmtId="44" fontId="15" fillId="13" borderId="8" xfId="1" applyFont="1" applyFill="1" applyBorder="1" applyAlignment="1">
      <alignment horizontal="center" wrapText="1"/>
    </xf>
    <xf numFmtId="44" fontId="15" fillId="13" borderId="3" xfId="1" applyFont="1" applyFill="1" applyBorder="1" applyAlignment="1">
      <alignment horizontal="center" wrapText="1"/>
    </xf>
    <xf numFmtId="170" fontId="13" fillId="0" borderId="23" xfId="1" applyNumberFormat="1" applyFont="1" applyFill="1" applyBorder="1" applyAlignment="1">
      <alignment horizontal="center" vertical="center" wrapText="1"/>
    </xf>
    <xf numFmtId="0" fontId="13" fillId="0" borderId="99" xfId="0" applyFont="1" applyBorder="1" applyAlignment="1">
      <alignment horizontal="left" wrapText="1"/>
    </xf>
    <xf numFmtId="9" fontId="13" fillId="0" borderId="76" xfId="0" applyNumberFormat="1" applyFont="1" applyBorder="1"/>
    <xf numFmtId="0" fontId="13" fillId="0" borderId="76" xfId="1" applyNumberFormat="1" applyFont="1" applyBorder="1" applyAlignment="1">
      <alignment horizontal="center" vertical="center" wrapText="1"/>
    </xf>
    <xf numFmtId="44" fontId="13" fillId="0" borderId="76" xfId="1" applyNumberFormat="1" applyFont="1" applyBorder="1" applyAlignment="1">
      <alignment horizontal="center" vertical="center" wrapText="1"/>
    </xf>
    <xf numFmtId="44" fontId="13" fillId="0" borderId="76" xfId="1" applyFont="1" applyBorder="1" applyAlignment="1">
      <alignment horizontal="center" vertical="center" wrapText="1"/>
    </xf>
    <xf numFmtId="44" fontId="13" fillId="0" borderId="76" xfId="1" applyFont="1" applyBorder="1"/>
    <xf numFmtId="44" fontId="13" fillId="0" borderId="77" xfId="1" applyFont="1" applyBorder="1"/>
    <xf numFmtId="170" fontId="13" fillId="0" borderId="75" xfId="1" applyNumberFormat="1" applyFont="1" applyFill="1" applyBorder="1" applyAlignment="1">
      <alignment horizontal="center" vertical="center" wrapText="1"/>
    </xf>
    <xf numFmtId="164" fontId="13" fillId="7" borderId="4" xfId="0" applyNumberFormat="1" applyFont="1" applyFill="1" applyBorder="1" applyAlignment="1">
      <alignment horizontal="center" vertical="center" wrapText="1"/>
    </xf>
    <xf numFmtId="164" fontId="13" fillId="7" borderId="79" xfId="0" applyNumberFormat="1" applyFont="1" applyFill="1" applyBorder="1" applyAlignment="1">
      <alignment horizontal="center" vertical="center" wrapText="1"/>
    </xf>
    <xf numFmtId="0" fontId="0" fillId="13" borderId="81" xfId="0" applyFill="1" applyBorder="1" applyAlignment="1">
      <alignment horizontal="center" vertical="center" wrapText="1"/>
    </xf>
    <xf numFmtId="0" fontId="0" fillId="13" borderId="68" xfId="0" applyFill="1" applyBorder="1" applyAlignment="1">
      <alignment horizontal="center" vertical="center" wrapText="1"/>
    </xf>
    <xf numFmtId="0" fontId="0" fillId="13" borderId="6" xfId="0" applyFill="1" applyBorder="1" applyAlignment="1">
      <alignment horizontal="center" vertical="center" wrapText="1"/>
    </xf>
    <xf numFmtId="0" fontId="0" fillId="13" borderId="70" xfId="0" applyFill="1" applyBorder="1" applyAlignment="1">
      <alignment horizontal="center" vertical="center" wrapText="1"/>
    </xf>
    <xf numFmtId="164" fontId="8" fillId="7" borderId="4" xfId="0" applyNumberFormat="1" applyFont="1" applyFill="1" applyBorder="1" applyAlignment="1">
      <alignment horizontal="center" vertical="center" wrapText="1"/>
    </xf>
    <xf numFmtId="164" fontId="8" fillId="7" borderId="79" xfId="0" applyNumberFormat="1" applyFont="1" applyFill="1" applyBorder="1" applyAlignment="1">
      <alignment horizontal="center" vertical="center" wrapText="1"/>
    </xf>
    <xf numFmtId="0" fontId="2" fillId="79" borderId="6" xfId="0" applyFont="1" applyFill="1" applyBorder="1" applyAlignment="1">
      <alignment wrapText="1"/>
    </xf>
    <xf numFmtId="44" fontId="6" fillId="0" borderId="74" xfId="1" applyFont="1" applyBorder="1"/>
    <xf numFmtId="170" fontId="6" fillId="0" borderId="74" xfId="1" applyNumberFormat="1" applyFont="1" applyBorder="1"/>
    <xf numFmtId="170" fontId="6" fillId="0" borderId="77" xfId="1" applyNumberFormat="1" applyFont="1" applyBorder="1"/>
    <xf numFmtId="0" fontId="77" fillId="79" borderId="23" xfId="0" applyFont="1" applyFill="1" applyBorder="1" applyAlignment="1">
      <alignment wrapText="1"/>
    </xf>
    <xf numFmtId="0" fontId="77" fillId="79" borderId="74" xfId="0" applyFont="1" applyFill="1" applyBorder="1" applyAlignment="1">
      <alignment horizontal="center" vertical="center" wrapText="1"/>
    </xf>
    <xf numFmtId="170" fontId="6" fillId="0" borderId="23" xfId="1" applyNumberFormat="1" applyFont="1" applyBorder="1"/>
    <xf numFmtId="44" fontId="6" fillId="0" borderId="74" xfId="0" applyNumberFormat="1" applyFont="1" applyBorder="1" applyAlignment="1">
      <alignment horizontal="center"/>
    </xf>
    <xf numFmtId="170" fontId="6" fillId="0" borderId="74" xfId="0" applyNumberFormat="1" applyFont="1" applyBorder="1" applyAlignment="1">
      <alignment horizontal="center"/>
    </xf>
    <xf numFmtId="170" fontId="6" fillId="0" borderId="75" xfId="1" applyNumberFormat="1" applyFont="1" applyBorder="1"/>
    <xf numFmtId="170" fontId="6" fillId="0" borderId="77" xfId="0" applyNumberFormat="1" applyFont="1" applyBorder="1" applyAlignment="1">
      <alignment horizontal="center"/>
    </xf>
    <xf numFmtId="44" fontId="6" fillId="0" borderId="23" xfId="0" applyNumberFormat="1" applyFont="1" applyBorder="1"/>
    <xf numFmtId="44" fontId="6" fillId="0" borderId="74" xfId="0" applyNumberFormat="1" applyFont="1" applyBorder="1"/>
    <xf numFmtId="170" fontId="6" fillId="0" borderId="23" xfId="0" applyNumberFormat="1" applyFont="1" applyBorder="1"/>
    <xf numFmtId="170" fontId="6" fillId="0" borderId="75" xfId="0" applyNumberFormat="1" applyFont="1" applyBorder="1"/>
    <xf numFmtId="0" fontId="77" fillId="79" borderId="97" xfId="0" applyFont="1" applyFill="1" applyBorder="1" applyAlignment="1">
      <alignment horizontal="center"/>
    </xf>
    <xf numFmtId="0" fontId="77" fillId="79" borderId="98" xfId="0" applyFont="1" applyFill="1" applyBorder="1"/>
    <xf numFmtId="0" fontId="90" fillId="0" borderId="1" xfId="2" applyFont="1" applyFill="1" applyBorder="1" applyAlignment="1">
      <alignment horizontal="left" vertical="top" wrapText="1"/>
    </xf>
    <xf numFmtId="0" fontId="0" fillId="0" borderId="1" xfId="0" applyBorder="1" applyAlignment="1">
      <alignment horizontal="center" wrapText="1"/>
    </xf>
    <xf numFmtId="0" fontId="90" fillId="0" borderId="1" xfId="2" applyFont="1" applyFill="1" applyBorder="1" applyAlignment="1">
      <alignment horizontal="left" vertical="top" wrapText="1"/>
    </xf>
    <xf numFmtId="0" fontId="12" fillId="0" borderId="1" xfId="0" applyFont="1" applyBorder="1" applyAlignment="1">
      <alignment horizontal="center" vertical="center"/>
    </xf>
    <xf numFmtId="0" fontId="2" fillId="78" borderId="1" xfId="0" applyFont="1" applyFill="1" applyBorder="1" applyAlignment="1">
      <alignment horizontal="center" wrapText="1"/>
    </xf>
    <xf numFmtId="0" fontId="7" fillId="4" borderId="1" xfId="0" applyFont="1" applyFill="1" applyBorder="1" applyAlignment="1">
      <alignment horizontal="center" vertical="center" wrapText="1"/>
    </xf>
    <xf numFmtId="0" fontId="4" fillId="0" borderId="1" xfId="0" applyFont="1" applyBorder="1" applyAlignment="1">
      <alignment horizontal="center" vertical="center" wrapText="1"/>
    </xf>
    <xf numFmtId="170" fontId="13" fillId="0" borderId="92" xfId="0" applyNumberFormat="1" applyFont="1" applyFill="1" applyBorder="1" applyAlignment="1">
      <alignment horizontal="center" vertical="center"/>
    </xf>
    <xf numFmtId="0" fontId="110" fillId="8" borderId="1" xfId="0" applyFont="1" applyFill="1" applyBorder="1" applyAlignment="1">
      <alignment horizontal="center" wrapText="1"/>
    </xf>
    <xf numFmtId="6" fontId="111" fillId="0" borderId="1" xfId="0" applyNumberFormat="1" applyFont="1" applyBorder="1" applyAlignment="1">
      <alignment horizontal="center" vertical="center" wrapText="1"/>
    </xf>
    <xf numFmtId="0" fontId="110" fillId="8" borderId="23" xfId="0" applyFont="1" applyFill="1" applyBorder="1" applyAlignment="1">
      <alignment wrapText="1"/>
    </xf>
    <xf numFmtId="0" fontId="111" fillId="0" borderId="23" xfId="0" applyFont="1" applyBorder="1" applyAlignment="1">
      <alignment horizontal="left" wrapText="1"/>
    </xf>
    <xf numFmtId="0" fontId="111" fillId="0" borderId="75" xfId="0" applyFont="1" applyBorder="1" applyAlignment="1">
      <alignment horizontal="left" wrapText="1"/>
    </xf>
    <xf numFmtId="6" fontId="111" fillId="0" borderId="76" xfId="0" applyNumberFormat="1" applyFont="1" applyBorder="1" applyAlignment="1">
      <alignment horizontal="center" vertical="center" wrapText="1"/>
    </xf>
    <xf numFmtId="6" fontId="111" fillId="0" borderId="77" xfId="0" applyNumberFormat="1" applyFont="1" applyBorder="1" applyAlignment="1">
      <alignment horizontal="center" vertical="center" wrapText="1"/>
    </xf>
    <xf numFmtId="6" fontId="112" fillId="0" borderId="0" xfId="955" applyNumberFormat="1" applyFont="1" applyAlignment="1">
      <alignment horizontal="center" vertical="top"/>
    </xf>
    <xf numFmtId="0" fontId="3" fillId="0" borderId="0" xfId="2" applyFill="1"/>
    <xf numFmtId="0" fontId="0" fillId="0" borderId="0" xfId="0" applyFill="1" applyBorder="1" applyAlignment="1">
      <alignment horizontal="center" wrapText="1"/>
    </xf>
    <xf numFmtId="170" fontId="0" fillId="0" borderId="0" xfId="0" applyNumberFormat="1" applyFill="1" applyBorder="1" applyAlignment="1">
      <alignment horizontal="center"/>
    </xf>
    <xf numFmtId="0" fontId="0" fillId="74" borderId="1" xfId="0" applyFill="1" applyBorder="1"/>
    <xf numFmtId="0" fontId="0" fillId="74" borderId="1" xfId="0" applyFill="1" applyBorder="1" applyAlignment="1">
      <alignment horizontal="center" wrapText="1"/>
    </xf>
    <xf numFmtId="0" fontId="15" fillId="74" borderId="1" xfId="0" applyFont="1" applyFill="1" applyBorder="1" applyAlignment="1">
      <alignment vertical="center" wrapText="1"/>
    </xf>
    <xf numFmtId="44" fontId="94" fillId="74" borderId="1" xfId="1" applyFont="1" applyFill="1" applyBorder="1" applyAlignment="1">
      <alignment wrapText="1"/>
    </xf>
    <xf numFmtId="2" fontId="94" fillId="74" borderId="1" xfId="0" applyNumberFormat="1" applyFont="1" applyFill="1" applyBorder="1" applyAlignment="1">
      <alignment vertical="center" wrapText="1"/>
    </xf>
    <xf numFmtId="0" fontId="9" fillId="74" borderId="1" xfId="0" applyFont="1" applyFill="1" applyBorder="1" applyAlignment="1">
      <alignment wrapText="1"/>
    </xf>
    <xf numFmtId="44" fontId="91" fillId="74" borderId="1" xfId="1" applyFont="1" applyFill="1" applyBorder="1" applyAlignment="1">
      <alignment wrapText="1"/>
    </xf>
    <xf numFmtId="0" fontId="23" fillId="74" borderId="1" xfId="0" applyFont="1" applyFill="1" applyBorder="1" applyAlignment="1">
      <alignment horizontal="center" vertical="center" wrapText="1"/>
    </xf>
    <xf numFmtId="9" fontId="18" fillId="0" borderId="23" xfId="0" applyNumberFormat="1" applyFont="1" applyBorder="1" applyAlignment="1">
      <alignment horizontal="center"/>
    </xf>
    <xf numFmtId="9" fontId="18" fillId="0" borderId="75" xfId="0" applyNumberFormat="1" applyFont="1" applyBorder="1" applyAlignment="1">
      <alignment horizontal="center"/>
    </xf>
    <xf numFmtId="0" fontId="0" fillId="0" borderId="23" xfId="0" applyFill="1" applyBorder="1" applyAlignment="1">
      <alignment horizontal="center" vertical="center" wrapText="1"/>
    </xf>
    <xf numFmtId="0" fontId="0" fillId="0" borderId="75" xfId="0" applyFill="1" applyBorder="1" applyAlignment="1">
      <alignment horizontal="center" vertical="center" wrapText="1"/>
    </xf>
    <xf numFmtId="44" fontId="0" fillId="0" borderId="1" xfId="0" applyNumberFormat="1" applyFill="1" applyBorder="1" applyAlignment="1">
      <alignment vertical="center" wrapText="1"/>
    </xf>
    <xf numFmtId="170" fontId="0" fillId="0" borderId="1" xfId="0" applyNumberFormat="1" applyBorder="1" applyAlignment="1">
      <alignment horizontal="left"/>
    </xf>
    <xf numFmtId="0" fontId="23" fillId="0" borderId="23" xfId="0" applyFont="1" applyBorder="1" applyAlignment="1">
      <alignment vertical="center" wrapText="1"/>
    </xf>
    <xf numFmtId="44" fontId="0" fillId="0" borderId="76" xfId="0" applyNumberFormat="1" applyFill="1" applyBorder="1" applyAlignment="1">
      <alignment vertical="center" wrapText="1"/>
    </xf>
    <xf numFmtId="170" fontId="0" fillId="0" borderId="76" xfId="0" applyNumberFormat="1" applyBorder="1" applyAlignment="1">
      <alignment horizontal="left"/>
    </xf>
    <xf numFmtId="170" fontId="0" fillId="0" borderId="76" xfId="0" applyNumberFormat="1" applyBorder="1" applyAlignment="1">
      <alignment vertical="center"/>
    </xf>
    <xf numFmtId="170" fontId="0" fillId="0" borderId="0" xfId="0" applyNumberFormat="1" applyBorder="1"/>
    <xf numFmtId="170" fontId="0" fillId="0" borderId="1" xfId="0" applyNumberFormat="1" applyBorder="1" applyAlignment="1">
      <alignment vertical="center"/>
    </xf>
    <xf numFmtId="0" fontId="25" fillId="0" borderId="23" xfId="0" applyFont="1" applyFill="1" applyBorder="1" applyAlignment="1">
      <alignment vertical="center" wrapText="1"/>
    </xf>
    <xf numFmtId="0" fontId="0" fillId="0" borderId="75" xfId="0" applyFill="1" applyBorder="1" applyAlignment="1">
      <alignment vertical="center" wrapText="1"/>
    </xf>
    <xf numFmtId="0" fontId="76" fillId="78" borderId="74" xfId="0" applyFont="1" applyFill="1" applyBorder="1" applyAlignment="1">
      <alignment vertical="center" wrapText="1"/>
    </xf>
    <xf numFmtId="0" fontId="0" fillId="0" borderId="76" xfId="0" applyBorder="1" applyAlignment="1">
      <alignment horizontal="left"/>
    </xf>
    <xf numFmtId="170" fontId="0" fillId="0" borderId="1" xfId="0" applyNumberFormat="1" applyFill="1" applyBorder="1" applyAlignment="1">
      <alignment vertical="center" wrapText="1"/>
    </xf>
    <xf numFmtId="0" fontId="25" fillId="0" borderId="75" xfId="0" applyFont="1" applyFill="1" applyBorder="1" applyAlignment="1">
      <alignment vertical="center" wrapText="1"/>
    </xf>
    <xf numFmtId="170" fontId="0" fillId="0" borderId="76" xfId="0" applyNumberFormat="1" applyFill="1" applyBorder="1" applyAlignment="1">
      <alignment vertical="center" wrapText="1"/>
    </xf>
    <xf numFmtId="44" fontId="0" fillId="0" borderId="74" xfId="0" applyNumberFormat="1" applyBorder="1"/>
    <xf numFmtId="0" fontId="0" fillId="0" borderId="75" xfId="0" applyBorder="1"/>
    <xf numFmtId="44" fontId="0" fillId="0" borderId="77" xfId="0" applyNumberFormat="1" applyBorder="1"/>
    <xf numFmtId="170" fontId="8" fillId="0" borderId="74" xfId="0" applyNumberFormat="1" applyFont="1" applyFill="1" applyBorder="1" applyAlignment="1">
      <alignment horizontal="center" vertical="center" wrapText="1"/>
    </xf>
    <xf numFmtId="170" fontId="8" fillId="0" borderId="76" xfId="0" applyNumberFormat="1" applyFont="1" applyFill="1" applyBorder="1" applyAlignment="1">
      <alignment horizontal="center" vertical="center" wrapText="1"/>
    </xf>
    <xf numFmtId="170" fontId="8" fillId="0" borderId="77" xfId="0" applyNumberFormat="1" applyFont="1" applyFill="1" applyBorder="1" applyAlignment="1">
      <alignment horizontal="center" vertical="center" wrapText="1"/>
    </xf>
    <xf numFmtId="0" fontId="6" fillId="79" borderId="1" xfId="0" applyFont="1" applyFill="1" applyBorder="1" applyAlignment="1">
      <alignment horizontal="center" vertical="center" wrapText="1"/>
    </xf>
    <xf numFmtId="0" fontId="6" fillId="79" borderId="74" xfId="0" applyFont="1" applyFill="1" applyBorder="1" applyAlignment="1">
      <alignment horizontal="center" vertical="center" wrapText="1"/>
    </xf>
    <xf numFmtId="170" fontId="0" fillId="0" borderId="74" xfId="0" applyNumberFormat="1" applyBorder="1"/>
    <xf numFmtId="170" fontId="0" fillId="0" borderId="77" xfId="0" applyNumberFormat="1" applyBorder="1"/>
    <xf numFmtId="0" fontId="76" fillId="4" borderId="1" xfId="0" applyFont="1" applyFill="1" applyBorder="1" applyAlignment="1">
      <alignment horizontal="center" vertical="center" wrapText="1"/>
    </xf>
    <xf numFmtId="170" fontId="12" fillId="0" borderId="1" xfId="0" applyNumberFormat="1" applyFont="1" applyBorder="1" applyAlignment="1">
      <alignment horizontal="center" vertical="center"/>
    </xf>
    <xf numFmtId="0" fontId="7" fillId="4" borderId="74" xfId="0" applyFont="1" applyFill="1" applyBorder="1" applyAlignment="1">
      <alignment horizontal="center" vertical="center" wrapText="1"/>
    </xf>
    <xf numFmtId="0" fontId="12" fillId="0" borderId="23" xfId="0" applyFont="1" applyBorder="1" applyAlignment="1">
      <alignment horizontal="center" vertical="center"/>
    </xf>
    <xf numFmtId="170" fontId="12" fillId="0" borderId="74" xfId="0" applyNumberFormat="1" applyFont="1" applyBorder="1" applyAlignment="1">
      <alignment horizontal="center" vertical="center"/>
    </xf>
    <xf numFmtId="0" fontId="12" fillId="0" borderId="75" xfId="0" applyFont="1" applyBorder="1" applyAlignment="1">
      <alignment horizontal="center" vertical="center"/>
    </xf>
    <xf numFmtId="0" fontId="12" fillId="0" borderId="76" xfId="0" applyFont="1" applyBorder="1" applyAlignment="1">
      <alignment horizontal="center" vertical="center"/>
    </xf>
    <xf numFmtId="170" fontId="12" fillId="0" borderId="76" xfId="0" applyNumberFormat="1" applyFont="1" applyBorder="1" applyAlignment="1">
      <alignment horizontal="center" vertical="center"/>
    </xf>
    <xf numFmtId="170" fontId="12" fillId="0" borderId="77" xfId="0" applyNumberFormat="1" applyFont="1" applyBorder="1" applyAlignment="1">
      <alignment horizontal="center" vertical="center"/>
    </xf>
    <xf numFmtId="0" fontId="76" fillId="4" borderId="74" xfId="0" applyFont="1" applyFill="1" applyBorder="1" applyAlignment="1">
      <alignment horizontal="center" vertical="center" wrapText="1"/>
    </xf>
    <xf numFmtId="6" fontId="12" fillId="0" borderId="74" xfId="0" applyNumberFormat="1" applyFont="1" applyBorder="1" applyAlignment="1">
      <alignment horizontal="center" vertical="center"/>
    </xf>
    <xf numFmtId="6" fontId="12" fillId="0" borderId="76" xfId="0" applyNumberFormat="1" applyFont="1" applyBorder="1" applyAlignment="1">
      <alignment horizontal="center" vertical="center"/>
    </xf>
    <xf numFmtId="6" fontId="12" fillId="0" borderId="77" xfId="0" applyNumberFormat="1" applyFont="1" applyBorder="1" applyAlignment="1">
      <alignment horizontal="center" vertical="center"/>
    </xf>
    <xf numFmtId="0" fontId="115" fillId="9" borderId="21" xfId="0" applyFont="1" applyFill="1" applyBorder="1" applyAlignment="1">
      <alignment horizontal="center" vertical="center"/>
    </xf>
    <xf numFmtId="0" fontId="115" fillId="9" borderId="14" xfId="0" applyFont="1" applyFill="1" applyBorder="1" applyAlignment="1">
      <alignment horizontal="center" vertical="center" wrapText="1"/>
    </xf>
    <xf numFmtId="0" fontId="4" fillId="0" borderId="22" xfId="0" applyFont="1" applyBorder="1" applyAlignment="1">
      <alignment horizontal="center" vertical="center"/>
    </xf>
    <xf numFmtId="6" fontId="4" fillId="0" borderId="20" xfId="0" applyNumberFormat="1" applyFont="1" applyBorder="1" applyAlignment="1">
      <alignment horizontal="center" vertical="center" wrapText="1"/>
    </xf>
    <xf numFmtId="0" fontId="115" fillId="9" borderId="14" xfId="0" applyFont="1" applyFill="1" applyBorder="1" applyAlignment="1">
      <alignment horizontal="center" vertical="center"/>
    </xf>
    <xf numFmtId="0" fontId="4" fillId="10" borderId="22" xfId="0" applyFont="1" applyFill="1" applyBorder="1" applyAlignment="1">
      <alignment horizontal="center" vertical="center"/>
    </xf>
    <xf numFmtId="6" fontId="4" fillId="10" borderId="20" xfId="0" applyNumberFormat="1" applyFont="1" applyFill="1" applyBorder="1" applyAlignment="1">
      <alignment horizontal="center" vertical="center"/>
    </xf>
    <xf numFmtId="0" fontId="4" fillId="0" borderId="42" xfId="0" applyFont="1" applyFill="1" applyBorder="1" applyAlignment="1">
      <alignment horizontal="center" vertical="center"/>
    </xf>
    <xf numFmtId="0" fontId="114" fillId="0" borderId="1" xfId="2" quotePrefix="1" applyFont="1" applyBorder="1" applyAlignment="1">
      <alignment vertical="top" wrapText="1"/>
    </xf>
    <xf numFmtId="0" fontId="0" fillId="0" borderId="83" xfId="0" applyFont="1" applyBorder="1" applyAlignment="1">
      <alignment horizontal="left" vertical="center"/>
    </xf>
    <xf numFmtId="0" fontId="0" fillId="0" borderId="23" xfId="0" applyFont="1" applyBorder="1" applyAlignment="1">
      <alignment horizontal="left" vertical="center"/>
    </xf>
    <xf numFmtId="0" fontId="90" fillId="0" borderId="68" xfId="2" applyFont="1" applyFill="1" applyBorder="1" applyAlignment="1">
      <alignment horizontal="center" vertical="top" wrapText="1"/>
    </xf>
    <xf numFmtId="0" fontId="90" fillId="0" borderId="3" xfId="2" applyFont="1" applyFill="1" applyBorder="1" applyAlignment="1">
      <alignment horizontal="center" vertical="top" wrapText="1"/>
    </xf>
    <xf numFmtId="0" fontId="90" fillId="0" borderId="1" xfId="2" applyFont="1" applyFill="1" applyBorder="1" applyAlignment="1">
      <alignment horizontal="center" vertical="top" wrapText="1"/>
    </xf>
    <xf numFmtId="8" fontId="18" fillId="0" borderId="1" xfId="0" applyNumberFormat="1" applyFont="1" applyFill="1" applyBorder="1" applyAlignment="1">
      <alignment horizontal="center" vertical="top" wrapText="1"/>
    </xf>
    <xf numFmtId="6" fontId="90" fillId="0" borderId="1" xfId="2" applyNumberFormat="1" applyFont="1" applyFill="1" applyBorder="1" applyAlignment="1">
      <alignment horizontal="center" vertical="top" wrapText="1"/>
    </xf>
    <xf numFmtId="0" fontId="108"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87" fillId="0" borderId="1" xfId="2" applyFont="1" applyFill="1" applyBorder="1" applyAlignment="1">
      <alignment horizontal="center" vertical="top" wrapText="1"/>
    </xf>
    <xf numFmtId="0" fontId="19" fillId="0" borderId="1" xfId="0" applyFont="1" applyFill="1" applyBorder="1" applyAlignment="1">
      <alignment horizontal="left" vertical="top" wrapText="1"/>
    </xf>
    <xf numFmtId="0" fontId="98" fillId="0" borderId="1" xfId="2" applyFont="1" applyFill="1" applyBorder="1" applyAlignment="1">
      <alignment horizontal="left" vertical="top" wrapText="1"/>
    </xf>
    <xf numFmtId="0" fontId="90" fillId="0" borderId="1" xfId="2" applyFont="1" applyFill="1" applyBorder="1" applyAlignment="1">
      <alignment horizontal="left" vertical="top" wrapText="1"/>
    </xf>
    <xf numFmtId="0" fontId="98" fillId="0" borderId="1" xfId="0" applyFont="1" applyFill="1" applyBorder="1" applyAlignment="1">
      <alignment horizontal="left" vertical="top" wrapText="1"/>
    </xf>
    <xf numFmtId="0" fontId="106" fillId="0" borderId="1" xfId="0" applyFont="1" applyFill="1" applyBorder="1" applyAlignment="1">
      <alignment horizontal="left" vertical="top" wrapText="1"/>
    </xf>
    <xf numFmtId="0" fontId="68" fillId="82" borderId="1" xfId="0" applyFont="1" applyFill="1" applyBorder="1" applyAlignment="1">
      <alignment horizontal="left" wrapText="1"/>
    </xf>
    <xf numFmtId="0" fontId="68" fillId="82" borderId="1" xfId="0" applyFont="1" applyFill="1" applyBorder="1" applyAlignment="1">
      <alignment horizontal="center" wrapText="1"/>
    </xf>
    <xf numFmtId="0" fontId="67" fillId="2" borderId="92" xfId="0" applyFont="1" applyFill="1" applyBorder="1" applyAlignment="1">
      <alignment horizontal="center"/>
    </xf>
    <xf numFmtId="0" fontId="67" fillId="2" borderId="6" xfId="0" applyFont="1" applyFill="1" applyBorder="1" applyAlignment="1">
      <alignment horizontal="center"/>
    </xf>
    <xf numFmtId="0" fontId="67" fillId="2" borderId="4" xfId="0" applyFont="1" applyFill="1" applyBorder="1" applyAlignment="1">
      <alignment horizontal="center"/>
    </xf>
    <xf numFmtId="0" fontId="67" fillId="2" borderId="91" xfId="0" applyFont="1" applyFill="1" applyBorder="1" applyAlignment="1">
      <alignment horizontal="center"/>
    </xf>
    <xf numFmtId="0" fontId="67" fillId="2" borderId="10" xfId="0" applyFont="1" applyFill="1" applyBorder="1" applyAlignment="1">
      <alignment horizontal="center" wrapText="1"/>
    </xf>
    <xf numFmtId="0" fontId="67" fillId="2" borderId="100" xfId="0" applyFont="1" applyFill="1" applyBorder="1" applyAlignment="1">
      <alignment horizontal="center" wrapText="1"/>
    </xf>
    <xf numFmtId="0" fontId="67" fillId="2" borderId="9" xfId="0" applyFont="1" applyFill="1" applyBorder="1" applyAlignment="1">
      <alignment horizontal="center" wrapText="1"/>
    </xf>
    <xf numFmtId="0" fontId="67" fillId="2" borderId="86" xfId="0" applyFont="1" applyFill="1" applyBorder="1" applyAlignment="1">
      <alignment horizontal="center" wrapText="1"/>
    </xf>
    <xf numFmtId="0" fontId="67" fillId="2" borderId="92" xfId="0" applyFont="1" applyFill="1" applyBorder="1" applyAlignment="1">
      <alignment horizontal="center" wrapText="1"/>
    </xf>
    <xf numFmtId="0" fontId="67" fillId="2" borderId="6" xfId="0" applyFont="1" applyFill="1" applyBorder="1" applyAlignment="1">
      <alignment horizontal="center" wrapText="1"/>
    </xf>
    <xf numFmtId="0" fontId="67" fillId="2" borderId="85" xfId="0" applyFont="1" applyFill="1" applyBorder="1" applyAlignment="1">
      <alignment horizontal="center" wrapText="1"/>
    </xf>
    <xf numFmtId="0" fontId="67" fillId="2" borderId="7" xfId="0" applyFont="1" applyFill="1" applyBorder="1" applyAlignment="1">
      <alignment horizontal="center" wrapText="1"/>
    </xf>
    <xf numFmtId="0" fontId="67" fillId="2" borderId="4" xfId="0" applyFont="1" applyFill="1" applyBorder="1" applyAlignment="1">
      <alignment horizontal="center" wrapText="1"/>
    </xf>
    <xf numFmtId="0" fontId="67" fillId="2" borderId="1" xfId="0" applyFont="1" applyFill="1" applyBorder="1" applyAlignment="1">
      <alignment horizontal="center" wrapText="1"/>
    </xf>
    <xf numFmtId="6" fontId="67" fillId="13" borderId="13" xfId="1" quotePrefix="1" applyNumberFormat="1" applyFont="1" applyFill="1" applyBorder="1" applyAlignment="1">
      <alignment horizontal="left"/>
    </xf>
    <xf numFmtId="6" fontId="67" fillId="13" borderId="0" xfId="1" quotePrefix="1" applyNumberFormat="1" applyFont="1" applyFill="1" applyBorder="1" applyAlignment="1">
      <alignment horizontal="left"/>
    </xf>
    <xf numFmtId="6" fontId="67" fillId="13" borderId="19" xfId="1" quotePrefix="1" applyNumberFormat="1" applyFont="1" applyFill="1" applyBorder="1" applyAlignment="1">
      <alignment horizontal="left"/>
    </xf>
    <xf numFmtId="6" fontId="67" fillId="13" borderId="9" xfId="1" quotePrefix="1" applyNumberFormat="1" applyFont="1" applyFill="1" applyBorder="1" applyAlignment="1">
      <alignment horizontal="left"/>
    </xf>
    <xf numFmtId="6" fontId="67" fillId="13" borderId="7" xfId="1" quotePrefix="1" applyNumberFormat="1" applyFont="1" applyFill="1" applyBorder="1" applyAlignment="1">
      <alignment horizontal="left"/>
    </xf>
    <xf numFmtId="6" fontId="67" fillId="13" borderId="86" xfId="1" quotePrefix="1" applyNumberFormat="1" applyFont="1" applyFill="1" applyBorder="1" applyAlignment="1">
      <alignment horizontal="left"/>
    </xf>
    <xf numFmtId="0" fontId="97" fillId="0" borderId="58" xfId="0" applyFont="1" applyBorder="1" applyAlignment="1">
      <alignment horizontal="left"/>
    </xf>
    <xf numFmtId="0" fontId="97" fillId="0" borderId="18" xfId="0" applyFont="1" applyBorder="1" applyAlignment="1">
      <alignment horizontal="left"/>
    </xf>
    <xf numFmtId="0" fontId="97" fillId="0" borderId="59" xfId="0" applyFont="1" applyBorder="1" applyAlignment="1">
      <alignment horizontal="left"/>
    </xf>
    <xf numFmtId="0" fontId="67" fillId="2" borderId="17" xfId="0" applyFont="1" applyFill="1" applyBorder="1" applyAlignment="1">
      <alignment horizontal="center"/>
    </xf>
    <xf numFmtId="0" fontId="67" fillId="2" borderId="90" xfId="0" applyFont="1" applyFill="1" applyBorder="1" applyAlignment="1">
      <alignment horizontal="center"/>
    </xf>
    <xf numFmtId="0" fontId="67" fillId="2" borderId="72" xfId="0" applyFont="1" applyFill="1" applyBorder="1" applyAlignment="1">
      <alignment horizontal="center"/>
    </xf>
    <xf numFmtId="0" fontId="67" fillId="2" borderId="73" xfId="0" applyFont="1" applyFill="1" applyBorder="1" applyAlignment="1">
      <alignment horizontal="center"/>
    </xf>
    <xf numFmtId="0" fontId="67" fillId="2" borderId="62" xfId="0" applyFont="1" applyFill="1" applyBorder="1" applyAlignment="1">
      <alignment horizontal="center" wrapText="1"/>
    </xf>
    <xf numFmtId="0" fontId="67" fillId="2" borderId="66" xfId="0" applyFont="1" applyFill="1" applyBorder="1" applyAlignment="1">
      <alignment horizontal="center" wrapText="1"/>
    </xf>
    <xf numFmtId="0" fontId="67" fillId="2" borderId="11" xfId="0" applyFont="1" applyFill="1" applyBorder="1" applyAlignment="1">
      <alignment horizontal="center" wrapText="1"/>
    </xf>
    <xf numFmtId="0" fontId="0" fillId="0" borderId="1" xfId="0" applyBorder="1" applyAlignment="1">
      <alignment horizontal="center" vertical="center" wrapText="1"/>
    </xf>
    <xf numFmtId="0" fontId="0" fillId="0" borderId="1" xfId="0" applyBorder="1" applyAlignment="1">
      <alignment horizontal="center" wrapText="1"/>
    </xf>
    <xf numFmtId="44" fontId="0" fillId="0" borderId="1" xfId="1" applyFont="1" applyBorder="1" applyAlignment="1">
      <alignment horizontal="center" vertical="center"/>
    </xf>
    <xf numFmtId="0" fontId="0" fillId="0" borderId="33" xfId="0" applyBorder="1" applyAlignment="1">
      <alignment horizontal="center" wrapText="1"/>
    </xf>
    <xf numFmtId="0" fontId="0" fillId="0" borderId="3" xfId="0" applyBorder="1" applyAlignment="1">
      <alignment horizontal="center" wrapText="1"/>
    </xf>
    <xf numFmtId="0" fontId="77" fillId="13" borderId="10" xfId="0" applyFont="1" applyFill="1" applyBorder="1" applyAlignment="1">
      <alignment horizontal="center" wrapText="1"/>
    </xf>
    <xf numFmtId="0" fontId="77" fillId="13" borderId="80" xfId="0" applyFont="1" applyFill="1" applyBorder="1" applyAlignment="1">
      <alignment horizontal="center" wrapText="1"/>
    </xf>
    <xf numFmtId="0" fontId="0" fillId="13" borderId="9" xfId="0" applyFill="1" applyBorder="1" applyAlignment="1">
      <alignment horizontal="center" wrapText="1"/>
    </xf>
    <xf numFmtId="0" fontId="0" fillId="13" borderId="7" xfId="0" applyFill="1" applyBorder="1" applyAlignment="1">
      <alignment horizontal="center" wrapText="1"/>
    </xf>
    <xf numFmtId="0" fontId="0" fillId="0" borderId="1" xfId="0" applyBorder="1" applyAlignment="1">
      <alignment horizontal="center"/>
    </xf>
    <xf numFmtId="0" fontId="77" fillId="13" borderId="1" xfId="0" applyFont="1" applyFill="1" applyBorder="1" applyAlignment="1">
      <alignment horizontal="center" wrapText="1"/>
    </xf>
    <xf numFmtId="6" fontId="67" fillId="13" borderId="1" xfId="1" quotePrefix="1" applyNumberFormat="1" applyFont="1" applyFill="1" applyBorder="1" applyAlignment="1">
      <alignment horizontal="center"/>
    </xf>
    <xf numFmtId="0" fontId="0" fillId="13" borderId="37" xfId="0" applyFill="1" applyBorder="1" applyAlignment="1">
      <alignment horizontal="center" wrapText="1"/>
    </xf>
    <xf numFmtId="0" fontId="0" fillId="13" borderId="34" xfId="0" applyFill="1" applyBorder="1" applyAlignment="1">
      <alignment horizontal="center" wrapText="1"/>
    </xf>
    <xf numFmtId="0" fontId="0" fillId="13" borderId="36" xfId="0" applyFill="1" applyBorder="1" applyAlignment="1">
      <alignment horizontal="center" wrapText="1"/>
    </xf>
    <xf numFmtId="0" fontId="0" fillId="0" borderId="2" xfId="0" applyBorder="1" applyAlignment="1">
      <alignment horizontal="center" wrapText="1"/>
    </xf>
    <xf numFmtId="0" fontId="77" fillId="78" borderId="17" xfId="0" applyFont="1" applyFill="1" applyBorder="1" applyAlignment="1">
      <alignment horizontal="center"/>
    </xf>
    <xf numFmtId="0" fontId="77" fillId="78" borderId="90" xfId="0" applyFont="1" applyFill="1" applyBorder="1" applyAlignment="1">
      <alignment horizontal="center"/>
    </xf>
    <xf numFmtId="0" fontId="77" fillId="78" borderId="16" xfId="0" applyFont="1" applyFill="1" applyBorder="1" applyAlignment="1">
      <alignment horizontal="center"/>
    </xf>
    <xf numFmtId="0" fontId="2" fillId="78" borderId="92" xfId="0" applyFont="1" applyFill="1" applyBorder="1" applyAlignment="1">
      <alignment horizontal="center" wrapText="1"/>
    </xf>
    <xf numFmtId="0" fontId="2" fillId="78" borderId="91" xfId="0" applyFont="1" applyFill="1" applyBorder="1" applyAlignment="1">
      <alignment horizontal="center" wrapText="1"/>
    </xf>
    <xf numFmtId="0" fontId="0" fillId="0" borderId="81" xfId="0" applyFill="1" applyBorder="1" applyAlignment="1">
      <alignment horizontal="center" vertical="center" wrapText="1"/>
    </xf>
    <xf numFmtId="0" fontId="0" fillId="0" borderId="83" xfId="0" applyFill="1" applyBorder="1" applyAlignment="1">
      <alignment horizontal="center" vertical="center" wrapText="1"/>
    </xf>
    <xf numFmtId="170" fontId="0" fillId="0" borderId="2" xfId="0" applyNumberFormat="1" applyBorder="1" applyAlignment="1">
      <alignment horizontal="center" vertical="center"/>
    </xf>
    <xf numFmtId="170" fontId="0" fillId="0" borderId="8" xfId="0" applyNumberFormat="1" applyBorder="1" applyAlignment="1">
      <alignment horizontal="center" vertical="center"/>
    </xf>
    <xf numFmtId="170" fontId="0" fillId="0" borderId="94" xfId="0" applyNumberFormat="1" applyBorder="1" applyAlignment="1">
      <alignment horizontal="center" vertical="center"/>
    </xf>
    <xf numFmtId="0" fontId="0" fillId="0" borderId="87" xfId="0" applyFill="1" applyBorder="1" applyAlignment="1">
      <alignment horizontal="center" vertical="center" wrapText="1"/>
    </xf>
    <xf numFmtId="0" fontId="0" fillId="0" borderId="95" xfId="0" applyFill="1" applyBorder="1" applyAlignment="1">
      <alignment horizontal="center" vertical="center" wrapText="1"/>
    </xf>
    <xf numFmtId="0" fontId="2" fillId="78" borderId="4" xfId="0" applyFont="1" applyFill="1" applyBorder="1" applyAlignment="1">
      <alignment horizontal="center"/>
    </xf>
    <xf numFmtId="0" fontId="2" fillId="78" borderId="5" xfId="0" applyFont="1" applyFill="1" applyBorder="1" applyAlignment="1">
      <alignment horizontal="center"/>
    </xf>
    <xf numFmtId="0" fontId="2" fillId="78" borderId="6" xfId="0" applyFont="1" applyFill="1" applyBorder="1" applyAlignment="1">
      <alignment horizontal="center"/>
    </xf>
    <xf numFmtId="0" fontId="0" fillId="74" borderId="4" xfId="0" applyFill="1" applyBorder="1" applyAlignment="1">
      <alignment horizontal="center" wrapText="1"/>
    </xf>
    <xf numFmtId="0" fontId="0" fillId="74" borderId="5" xfId="0" applyFill="1" applyBorder="1" applyAlignment="1">
      <alignment horizontal="center" wrapText="1"/>
    </xf>
    <xf numFmtId="0" fontId="0" fillId="0" borderId="68" xfId="0" applyBorder="1" applyAlignment="1">
      <alignment horizontal="center" wrapText="1"/>
    </xf>
    <xf numFmtId="0" fontId="0" fillId="74" borderId="4" xfId="0" applyFill="1" applyBorder="1" applyAlignment="1">
      <alignment horizontal="center"/>
    </xf>
    <xf numFmtId="0" fontId="0" fillId="74" borderId="5" xfId="0" applyFill="1" applyBorder="1" applyAlignment="1">
      <alignment horizontal="center"/>
    </xf>
    <xf numFmtId="0" fontId="0" fillId="74" borderId="6" xfId="0" applyFill="1" applyBorder="1" applyAlignment="1">
      <alignment horizontal="center"/>
    </xf>
    <xf numFmtId="0" fontId="0" fillId="74" borderId="6" xfId="0" applyFill="1" applyBorder="1" applyAlignment="1">
      <alignment horizontal="center" wrapText="1"/>
    </xf>
    <xf numFmtId="0" fontId="77" fillId="78" borderId="18" xfId="0" applyFont="1" applyFill="1" applyBorder="1" applyAlignment="1">
      <alignment horizontal="center"/>
    </xf>
    <xf numFmtId="0" fontId="77" fillId="78" borderId="59" xfId="0" applyFont="1" applyFill="1" applyBorder="1" applyAlignment="1">
      <alignment horizontal="center"/>
    </xf>
    <xf numFmtId="0" fontId="2" fillId="78" borderId="17" xfId="0" applyFont="1" applyFill="1" applyBorder="1" applyAlignment="1">
      <alignment horizontal="center"/>
    </xf>
    <xf numFmtId="0" fontId="2" fillId="78" borderId="90" xfId="0" applyFont="1" applyFill="1" applyBorder="1" applyAlignment="1">
      <alignment horizontal="center"/>
    </xf>
    <xf numFmtId="0" fontId="2" fillId="78" borderId="16" xfId="0" applyFont="1" applyFill="1" applyBorder="1" applyAlignment="1">
      <alignment horizontal="center"/>
    </xf>
    <xf numFmtId="0" fontId="2" fillId="78" borderId="81" xfId="0" applyFont="1" applyFill="1" applyBorder="1" applyAlignment="1">
      <alignment horizontal="center" wrapText="1"/>
    </xf>
    <xf numFmtId="0" fontId="2" fillId="78" borderId="83" xfId="0" applyFont="1" applyFill="1" applyBorder="1" applyAlignment="1">
      <alignment horizontal="center" wrapText="1"/>
    </xf>
    <xf numFmtId="0" fontId="2" fillId="78" borderId="82" xfId="0" applyFont="1" applyFill="1" applyBorder="1" applyAlignment="1">
      <alignment horizontal="center" wrapText="1"/>
    </xf>
    <xf numFmtId="0" fontId="2" fillId="78" borderId="84" xfId="0" applyFont="1" applyFill="1" applyBorder="1" applyAlignment="1">
      <alignment horizontal="center" wrapText="1"/>
    </xf>
    <xf numFmtId="0" fontId="77" fillId="74" borderId="1" xfId="0" applyFont="1" applyFill="1" applyBorder="1" applyAlignment="1">
      <alignment horizontal="center" wrapText="1"/>
    </xf>
    <xf numFmtId="0" fontId="77" fillId="74" borderId="4" xfId="0" applyFont="1" applyFill="1" applyBorder="1" applyAlignment="1">
      <alignment horizontal="center" wrapText="1"/>
    </xf>
    <xf numFmtId="0" fontId="77" fillId="74" borderId="5" xfId="0" applyFont="1" applyFill="1" applyBorder="1" applyAlignment="1">
      <alignment horizontal="center" wrapText="1"/>
    </xf>
    <xf numFmtId="0" fontId="77" fillId="74" borderId="6" xfId="0" applyFont="1" applyFill="1" applyBorder="1" applyAlignment="1">
      <alignment horizontal="center" wrapText="1"/>
    </xf>
    <xf numFmtId="6" fontId="67" fillId="74" borderId="1" xfId="1" quotePrefix="1" applyNumberFormat="1" applyFont="1" applyFill="1" applyBorder="1" applyAlignment="1">
      <alignment horizontal="center"/>
    </xf>
    <xf numFmtId="170" fontId="0" fillId="0" borderId="23" xfId="1" applyNumberFormat="1" applyFont="1" applyFill="1" applyBorder="1" applyAlignment="1">
      <alignment horizontal="center" vertical="center" wrapText="1"/>
    </xf>
    <xf numFmtId="170" fontId="0" fillId="0" borderId="23" xfId="1" applyNumberFormat="1" applyFont="1" applyBorder="1" applyAlignment="1">
      <alignment horizontal="center" vertical="center"/>
    </xf>
    <xf numFmtId="170" fontId="0" fillId="0" borderId="75" xfId="1" applyNumberFormat="1" applyFont="1" applyBorder="1" applyAlignment="1">
      <alignment horizontal="center" vertical="center"/>
    </xf>
    <xf numFmtId="170" fontId="0" fillId="0" borderId="1" xfId="1" applyNumberFormat="1" applyFont="1" applyBorder="1" applyAlignment="1">
      <alignment horizontal="center" vertical="center"/>
    </xf>
    <xf numFmtId="170" fontId="0" fillId="0" borderId="76" xfId="1" applyNumberFormat="1" applyFont="1" applyBorder="1" applyAlignment="1">
      <alignment horizontal="center" vertical="center"/>
    </xf>
    <xf numFmtId="170" fontId="0" fillId="0" borderId="82" xfId="1" applyNumberFormat="1" applyFont="1" applyBorder="1" applyAlignment="1">
      <alignment horizontal="center" vertical="center"/>
    </xf>
    <xf numFmtId="170" fontId="0" fillId="0" borderId="88" xfId="1" applyNumberFormat="1" applyFont="1" applyBorder="1" applyAlignment="1">
      <alignment horizontal="center" vertical="center"/>
    </xf>
    <xf numFmtId="170" fontId="0" fillId="0" borderId="136" xfId="1" applyNumberFormat="1" applyFont="1" applyBorder="1" applyAlignment="1">
      <alignment horizontal="center" vertical="center"/>
    </xf>
    <xf numFmtId="170" fontId="0" fillId="0" borderId="75" xfId="1" applyNumberFormat="1" applyFont="1" applyFill="1" applyBorder="1" applyAlignment="1">
      <alignment horizontal="center" vertical="center" wrapText="1"/>
    </xf>
    <xf numFmtId="0" fontId="0" fillId="0" borderId="8" xfId="0" applyBorder="1" applyAlignment="1">
      <alignment horizontal="center" wrapText="1"/>
    </xf>
    <xf numFmtId="0" fontId="67" fillId="0" borderId="71" xfId="0" applyFont="1" applyBorder="1" applyAlignment="1">
      <alignment horizontal="center"/>
    </xf>
    <xf numFmtId="0" fontId="67" fillId="0" borderId="73" xfId="0" applyFont="1" applyBorder="1" applyAlignment="1">
      <alignment horizontal="center"/>
    </xf>
    <xf numFmtId="0" fontId="67" fillId="0" borderId="71" xfId="0" applyFont="1" applyBorder="1" applyAlignment="1">
      <alignment horizontal="center" wrapText="1"/>
    </xf>
    <xf numFmtId="0" fontId="67" fillId="0" borderId="73" xfId="0" applyFont="1" applyBorder="1" applyAlignment="1">
      <alignment horizontal="center" wrapText="1"/>
    </xf>
    <xf numFmtId="0" fontId="67" fillId="0" borderId="17" xfId="0" applyFont="1" applyBorder="1" applyAlignment="1">
      <alignment horizontal="center"/>
    </xf>
    <xf numFmtId="0" fontId="67" fillId="0" borderId="16" xfId="0" applyFont="1" applyBorder="1" applyAlignment="1">
      <alignment horizontal="center"/>
    </xf>
    <xf numFmtId="0" fontId="68" fillId="0" borderId="17" xfId="0" applyFont="1" applyBorder="1" applyAlignment="1">
      <alignment horizontal="left"/>
    </xf>
    <xf numFmtId="0" fontId="68" fillId="0" borderId="16" xfId="0" applyFont="1" applyBorder="1" applyAlignment="1">
      <alignment horizontal="left"/>
    </xf>
    <xf numFmtId="0" fontId="2" fillId="78" borderId="61" xfId="0" applyFont="1" applyFill="1" applyBorder="1" applyAlignment="1">
      <alignment horizontal="center" wrapText="1"/>
    </xf>
    <xf numFmtId="0" fontId="2" fillId="78" borderId="148" xfId="0" applyFont="1" applyFill="1" applyBorder="1" applyAlignment="1">
      <alignment horizontal="center" wrapText="1"/>
    </xf>
    <xf numFmtId="44" fontId="0" fillId="0" borderId="73" xfId="0" applyNumberFormat="1" applyFill="1" applyBorder="1" applyAlignment="1">
      <alignment horizontal="center" wrapText="1"/>
    </xf>
    <xf numFmtId="44" fontId="0" fillId="0" borderId="74" xfId="0" applyNumberFormat="1" applyFill="1" applyBorder="1" applyAlignment="1">
      <alignment horizontal="center" wrapText="1"/>
    </xf>
    <xf numFmtId="44" fontId="0" fillId="0" borderId="77" xfId="0" applyNumberFormat="1" applyFill="1" applyBorder="1" applyAlignment="1">
      <alignment horizontal="center" wrapText="1"/>
    </xf>
    <xf numFmtId="0" fontId="0" fillId="13" borderId="37" xfId="0" applyFill="1" applyBorder="1" applyAlignment="1">
      <alignment horizontal="center"/>
    </xf>
    <xf numFmtId="0" fontId="0" fillId="13" borderId="34" xfId="0" applyFill="1" applyBorder="1" applyAlignment="1">
      <alignment horizontal="center"/>
    </xf>
    <xf numFmtId="0" fontId="0" fillId="13" borderId="36" xfId="0" applyFill="1" applyBorder="1" applyAlignment="1">
      <alignment horizontal="center"/>
    </xf>
    <xf numFmtId="0" fontId="0" fillId="13" borderId="1" xfId="0" applyFill="1" applyBorder="1" applyAlignment="1">
      <alignment horizontal="center"/>
    </xf>
    <xf numFmtId="2" fontId="0" fillId="0" borderId="68" xfId="0" applyNumberFormat="1" applyFont="1" applyFill="1" applyBorder="1" applyAlignment="1">
      <alignment horizontal="center" vertical="center"/>
    </xf>
    <xf numFmtId="2" fontId="0" fillId="0" borderId="8" xfId="0" applyNumberFormat="1" applyFont="1" applyFill="1" applyBorder="1" applyAlignment="1">
      <alignment horizontal="center" vertical="center"/>
    </xf>
    <xf numFmtId="2" fontId="0" fillId="0" borderId="3" xfId="0" applyNumberFormat="1" applyFont="1" applyFill="1" applyBorder="1" applyAlignment="1">
      <alignment horizontal="center" vertical="center"/>
    </xf>
    <xf numFmtId="2" fontId="0" fillId="0" borderId="2" xfId="0" applyNumberFormat="1" applyFont="1" applyFill="1" applyBorder="1" applyAlignment="1">
      <alignment horizontal="center" vertical="center"/>
    </xf>
    <xf numFmtId="44" fontId="0" fillId="0" borderId="10" xfId="1" applyFont="1" applyBorder="1" applyAlignment="1">
      <alignment horizontal="center" vertical="center"/>
    </xf>
    <xf numFmtId="44" fontId="0" fillId="0" borderId="13" xfId="1" applyFont="1" applyBorder="1" applyAlignment="1">
      <alignment horizontal="center" vertical="center"/>
    </xf>
    <xf numFmtId="44" fontId="0" fillId="0" borderId="9" xfId="1" applyFont="1" applyBorder="1" applyAlignment="1">
      <alignment horizontal="center" vertical="center"/>
    </xf>
    <xf numFmtId="0" fontId="2" fillId="13" borderId="37" xfId="0" applyFont="1" applyFill="1" applyBorder="1" applyAlignment="1">
      <alignment horizontal="center"/>
    </xf>
    <xf numFmtId="0" fontId="2" fillId="13" borderId="34" xfId="0" applyFont="1" applyFill="1" applyBorder="1" applyAlignment="1">
      <alignment horizontal="center"/>
    </xf>
    <xf numFmtId="0" fontId="2" fillId="13" borderId="36" xfId="0" applyFont="1" applyFill="1" applyBorder="1" applyAlignment="1">
      <alignment horizontal="center"/>
    </xf>
    <xf numFmtId="44" fontId="0" fillId="0" borderId="68" xfId="1" applyFont="1" applyBorder="1" applyAlignment="1">
      <alignment horizontal="center" vertical="center"/>
    </xf>
    <xf numFmtId="44" fontId="0" fillId="0" borderId="8" xfId="1" applyFont="1" applyBorder="1" applyAlignment="1">
      <alignment horizontal="center" vertical="center"/>
    </xf>
    <xf numFmtId="44" fontId="0" fillId="0" borderId="3" xfId="1" applyFont="1" applyBorder="1" applyAlignment="1">
      <alignment horizontal="center" vertical="center"/>
    </xf>
    <xf numFmtId="44" fontId="0" fillId="0" borderId="70" xfId="1" applyFont="1" applyBorder="1" applyAlignment="1">
      <alignment horizontal="center" vertical="center"/>
    </xf>
    <xf numFmtId="170" fontId="0" fillId="0" borderId="1" xfId="0" applyNumberFormat="1" applyBorder="1" applyAlignment="1">
      <alignment horizontal="center" vertical="center"/>
    </xf>
    <xf numFmtId="170" fontId="0" fillId="0" borderId="76" xfId="0" applyNumberFormat="1" applyBorder="1" applyAlignment="1">
      <alignment horizontal="center" vertical="center"/>
    </xf>
    <xf numFmtId="0" fontId="77" fillId="78" borderId="71" xfId="0" applyFont="1" applyFill="1" applyBorder="1" applyAlignment="1">
      <alignment horizontal="center"/>
    </xf>
    <xf numFmtId="0" fontId="77" fillId="78" borderId="72" xfId="0" applyFont="1" applyFill="1" applyBorder="1" applyAlignment="1">
      <alignment horizontal="center"/>
    </xf>
    <xf numFmtId="0" fontId="77" fillId="78" borderId="73" xfId="0" applyFont="1" applyFill="1" applyBorder="1" applyAlignment="1">
      <alignment horizontal="center"/>
    </xf>
    <xf numFmtId="0" fontId="8" fillId="13" borderId="37" xfId="0" applyFont="1" applyFill="1" applyBorder="1" applyAlignment="1">
      <alignment horizontal="center" vertical="center" wrapText="1"/>
    </xf>
    <xf numFmtId="0" fontId="8" fillId="13" borderId="34" xfId="0" applyFont="1" applyFill="1" applyBorder="1" applyAlignment="1">
      <alignment horizontal="center" vertical="center" wrapText="1"/>
    </xf>
    <xf numFmtId="0" fontId="8" fillId="13" borderId="36" xfId="0" applyFont="1" applyFill="1" applyBorder="1" applyAlignment="1">
      <alignment horizontal="center" vertical="center" wrapText="1"/>
    </xf>
    <xf numFmtId="0" fontId="2" fillId="78" borderId="1" xfId="0" applyFont="1" applyFill="1" applyBorder="1" applyAlignment="1">
      <alignment horizontal="center"/>
    </xf>
    <xf numFmtId="0" fontId="2" fillId="78" borderId="74" xfId="0" applyFont="1" applyFill="1" applyBorder="1" applyAlignment="1">
      <alignment horizontal="center"/>
    </xf>
    <xf numFmtId="0" fontId="2" fillId="13" borderId="35" xfId="0" applyFont="1" applyFill="1" applyBorder="1" applyAlignment="1">
      <alignment horizontal="center"/>
    </xf>
    <xf numFmtId="0" fontId="2" fillId="13" borderId="67" xfId="0" applyFont="1" applyFill="1" applyBorder="1" applyAlignment="1">
      <alignment horizontal="center"/>
    </xf>
    <xf numFmtId="0" fontId="2" fillId="13" borderId="66" xfId="0" applyFont="1" applyFill="1" applyBorder="1" applyAlignment="1">
      <alignment horizontal="center"/>
    </xf>
    <xf numFmtId="0" fontId="2" fillId="13" borderId="9" xfId="0" applyFont="1" applyFill="1" applyBorder="1" applyAlignment="1">
      <alignment horizontal="center"/>
    </xf>
    <xf numFmtId="0" fontId="2" fillId="13" borderId="7" xfId="0" applyFont="1" applyFill="1" applyBorder="1" applyAlignment="1">
      <alignment horizontal="center"/>
    </xf>
    <xf numFmtId="0" fontId="2" fillId="13" borderId="11" xfId="0" applyFont="1" applyFill="1" applyBorder="1" applyAlignment="1">
      <alignment horizontal="center"/>
    </xf>
    <xf numFmtId="0" fontId="15" fillId="13" borderId="97" xfId="0" applyFont="1" applyFill="1" applyBorder="1" applyAlignment="1">
      <alignment horizontal="center" vertical="center" wrapText="1"/>
    </xf>
    <xf numFmtId="0" fontId="15" fillId="13" borderId="98" xfId="0" applyFont="1" applyFill="1" applyBorder="1" applyAlignment="1">
      <alignment horizontal="center" vertical="center" wrapText="1"/>
    </xf>
    <xf numFmtId="0" fontId="16" fillId="13" borderId="17" xfId="0" applyFont="1" applyFill="1" applyBorder="1" applyAlignment="1">
      <alignment horizontal="center" vertical="center" wrapText="1"/>
    </xf>
    <xf numFmtId="0" fontId="16" fillId="13" borderId="90" xfId="0" applyFont="1" applyFill="1" applyBorder="1" applyAlignment="1">
      <alignment horizontal="center" vertical="center" wrapText="1"/>
    </xf>
    <xf numFmtId="0" fontId="16" fillId="13" borderId="71" xfId="0" applyFont="1" applyFill="1" applyBorder="1" applyAlignment="1">
      <alignment horizontal="center" vertical="center" wrapText="1"/>
    </xf>
    <xf numFmtId="0" fontId="16" fillId="13" borderId="72" xfId="0" applyFont="1" applyFill="1" applyBorder="1" applyAlignment="1">
      <alignment horizontal="center" vertical="center" wrapText="1"/>
    </xf>
    <xf numFmtId="0" fontId="16" fillId="13" borderId="78" xfId="0" applyFont="1" applyFill="1" applyBorder="1" applyAlignment="1">
      <alignment horizontal="center" vertical="center" wrapText="1"/>
    </xf>
    <xf numFmtId="0" fontId="15" fillId="13" borderId="17" xfId="0" applyFont="1" applyFill="1" applyBorder="1" applyAlignment="1">
      <alignment horizontal="center" vertical="center"/>
    </xf>
    <xf numFmtId="0" fontId="15" fillId="13" borderId="90" xfId="0" applyFont="1" applyFill="1" applyBorder="1" applyAlignment="1">
      <alignment horizontal="center" vertical="center"/>
    </xf>
    <xf numFmtId="0" fontId="15" fillId="13" borderId="16" xfId="0" applyFont="1" applyFill="1" applyBorder="1" applyAlignment="1">
      <alignment horizontal="center" vertical="center"/>
    </xf>
    <xf numFmtId="0" fontId="16" fillId="13" borderId="17" xfId="0" applyFont="1" applyFill="1" applyBorder="1" applyAlignment="1">
      <alignment horizontal="center" vertical="center"/>
    </xf>
    <xf numFmtId="0" fontId="16" fillId="13" borderId="90" xfId="0" applyFont="1" applyFill="1" applyBorder="1" applyAlignment="1">
      <alignment horizontal="center" vertical="center"/>
    </xf>
    <xf numFmtId="0" fontId="16" fillId="13" borderId="16" xfId="0" applyFont="1" applyFill="1" applyBorder="1" applyAlignment="1">
      <alignment horizontal="center" vertical="center"/>
    </xf>
    <xf numFmtId="0" fontId="15" fillId="13" borderId="15" xfId="0" applyFont="1" applyFill="1" applyBorder="1" applyAlignment="1">
      <alignment horizontal="center" vertical="center" wrapText="1"/>
    </xf>
    <xf numFmtId="0" fontId="15" fillId="13" borderId="96" xfId="0" applyFont="1" applyFill="1" applyBorder="1" applyAlignment="1">
      <alignment horizontal="center" vertical="center" wrapText="1"/>
    </xf>
    <xf numFmtId="0" fontId="15" fillId="13" borderId="14" xfId="0" applyFont="1" applyFill="1" applyBorder="1" applyAlignment="1">
      <alignment horizontal="center" vertical="center" wrapText="1"/>
    </xf>
    <xf numFmtId="0" fontId="15" fillId="13" borderId="43" xfId="0" applyFont="1" applyFill="1" applyBorder="1" applyAlignment="1">
      <alignment horizontal="center" vertical="center" wrapText="1"/>
    </xf>
    <xf numFmtId="0" fontId="15" fillId="13" borderId="83" xfId="0" applyFont="1" applyFill="1" applyBorder="1" applyAlignment="1">
      <alignment horizontal="center" vertical="center" wrapText="1"/>
    </xf>
    <xf numFmtId="0" fontId="16" fillId="13" borderId="89" xfId="0" applyFont="1" applyFill="1" applyBorder="1" applyAlignment="1">
      <alignment horizontal="center" wrapText="1"/>
    </xf>
    <xf numFmtId="0" fontId="16" fillId="13" borderId="84" xfId="0" applyFont="1" applyFill="1" applyBorder="1" applyAlignment="1">
      <alignment horizontal="center" wrapText="1"/>
    </xf>
    <xf numFmtId="0" fontId="16" fillId="13" borderId="17" xfId="0" applyFont="1" applyFill="1" applyBorder="1" applyAlignment="1">
      <alignment horizontal="center" wrapText="1"/>
    </xf>
    <xf numFmtId="0" fontId="16" fillId="13" borderId="90" xfId="0" applyFont="1" applyFill="1" applyBorder="1" applyAlignment="1">
      <alignment horizontal="center" wrapText="1"/>
    </xf>
    <xf numFmtId="0" fontId="0" fillId="13" borderId="17" xfId="0" applyFill="1" applyBorder="1" applyAlignment="1">
      <alignment horizontal="center"/>
    </xf>
    <xf numFmtId="0" fontId="0" fillId="13" borderId="90" xfId="0" applyFill="1" applyBorder="1" applyAlignment="1">
      <alignment horizontal="center"/>
    </xf>
    <xf numFmtId="0" fontId="0" fillId="13" borderId="16" xfId="0" applyFill="1" applyBorder="1" applyAlignment="1">
      <alignment horizontal="center"/>
    </xf>
    <xf numFmtId="0" fontId="16" fillId="13" borderId="15" xfId="0" applyFont="1" applyFill="1" applyBorder="1" applyAlignment="1">
      <alignment horizontal="center"/>
    </xf>
    <xf numFmtId="0" fontId="16" fillId="13" borderId="96" xfId="0" applyFont="1" applyFill="1" applyBorder="1" applyAlignment="1">
      <alignment horizontal="center"/>
    </xf>
    <xf numFmtId="0" fontId="16" fillId="13" borderId="14" xfId="0" applyFont="1" applyFill="1" applyBorder="1" applyAlignment="1">
      <alignment horizontal="center"/>
    </xf>
    <xf numFmtId="0" fontId="0" fillId="13" borderId="71" xfId="0" applyFill="1" applyBorder="1" applyAlignment="1">
      <alignment horizontal="center" vertical="center" wrapText="1"/>
    </xf>
    <xf numFmtId="0" fontId="0" fillId="13" borderId="72" xfId="0" applyFill="1" applyBorder="1" applyAlignment="1">
      <alignment horizontal="center" vertical="center" wrapText="1"/>
    </xf>
    <xf numFmtId="0" fontId="0" fillId="13" borderId="73" xfId="0" applyFill="1" applyBorder="1" applyAlignment="1">
      <alignment horizontal="center" vertical="center" wrapText="1"/>
    </xf>
    <xf numFmtId="0" fontId="0" fillId="13" borderId="23" xfId="0" applyFill="1" applyBorder="1" applyAlignment="1">
      <alignment horizontal="center" vertical="center" wrapText="1"/>
    </xf>
    <xf numFmtId="0" fontId="0" fillId="13" borderId="1" xfId="0" applyFill="1" applyBorder="1" applyAlignment="1">
      <alignment horizontal="center" vertical="center" wrapText="1"/>
    </xf>
    <xf numFmtId="0" fontId="0" fillId="13" borderId="74" xfId="0" applyFill="1" applyBorder="1" applyAlignment="1">
      <alignment horizontal="center" vertical="center" wrapText="1"/>
    </xf>
    <xf numFmtId="0" fontId="0" fillId="13" borderId="58" xfId="0" applyFill="1" applyBorder="1" applyAlignment="1">
      <alignment horizontal="center"/>
    </xf>
    <xf numFmtId="0" fontId="0" fillId="13" borderId="18" xfId="0" applyFill="1" applyBorder="1" applyAlignment="1">
      <alignment horizontal="center"/>
    </xf>
    <xf numFmtId="0" fontId="0" fillId="13" borderId="59" xfId="0" applyFill="1" applyBorder="1" applyAlignment="1">
      <alignment horizontal="center"/>
    </xf>
    <xf numFmtId="0" fontId="0" fillId="13" borderId="60" xfId="0" applyFill="1" applyBorder="1" applyAlignment="1">
      <alignment horizontal="center"/>
    </xf>
    <xf numFmtId="0" fontId="0" fillId="13" borderId="114" xfId="0" applyFill="1" applyBorder="1" applyAlignment="1">
      <alignment horizontal="center"/>
    </xf>
    <xf numFmtId="0" fontId="0" fillId="13" borderId="20" xfId="0" applyFill="1" applyBorder="1" applyAlignment="1">
      <alignment horizontal="center"/>
    </xf>
    <xf numFmtId="0" fontId="15" fillId="13" borderId="9"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0" fillId="13" borderId="85" xfId="0" applyFill="1" applyBorder="1" applyAlignment="1">
      <alignment horizontal="center"/>
    </xf>
    <xf numFmtId="0" fontId="0" fillId="13" borderId="7" xfId="0" applyFill="1" applyBorder="1" applyAlignment="1">
      <alignment horizontal="center"/>
    </xf>
    <xf numFmtId="0" fontId="0" fillId="13" borderId="86" xfId="0" applyFill="1" applyBorder="1" applyAlignment="1">
      <alignment horizontal="center"/>
    </xf>
    <xf numFmtId="0" fontId="0" fillId="13" borderId="15" xfId="0" applyFill="1" applyBorder="1" applyAlignment="1">
      <alignment horizontal="center"/>
    </xf>
    <xf numFmtId="0" fontId="0" fillId="13" borderId="96" xfId="0" applyFill="1" applyBorder="1" applyAlignment="1">
      <alignment horizontal="center"/>
    </xf>
    <xf numFmtId="0" fontId="0" fillId="13" borderId="14" xfId="0" applyFill="1" applyBorder="1" applyAlignment="1">
      <alignment horizontal="center"/>
    </xf>
    <xf numFmtId="0" fontId="16" fillId="13" borderId="73" xfId="0" applyFont="1" applyFill="1" applyBorder="1" applyAlignment="1">
      <alignment horizontal="center" vertical="center" wrapText="1"/>
    </xf>
    <xf numFmtId="44" fontId="4" fillId="0" borderId="23" xfId="1" applyFont="1" applyBorder="1" applyAlignment="1">
      <alignment horizontal="center" vertical="center" wrapText="1"/>
    </xf>
    <xf numFmtId="44" fontId="4" fillId="0" borderId="75" xfId="1" applyFont="1" applyBorder="1" applyAlignment="1">
      <alignment horizontal="center" vertical="center" wrapText="1"/>
    </xf>
    <xf numFmtId="44" fontId="92" fillId="13" borderId="72" xfId="1" applyFont="1" applyFill="1" applyBorder="1" applyAlignment="1">
      <alignment horizontal="center" wrapText="1"/>
    </xf>
    <xf numFmtId="44" fontId="92" fillId="13" borderId="1" xfId="1" applyFont="1" applyFill="1" applyBorder="1" applyAlignment="1">
      <alignment horizontal="center" wrapText="1"/>
    </xf>
    <xf numFmtId="2" fontId="92" fillId="13" borderId="72" xfId="0" applyNumberFormat="1" applyFont="1" applyFill="1" applyBorder="1" applyAlignment="1">
      <alignment horizontal="center" vertical="center" wrapText="1"/>
    </xf>
    <xf numFmtId="2" fontId="92" fillId="13" borderId="1" xfId="0" applyNumberFormat="1" applyFont="1" applyFill="1" applyBorder="1" applyAlignment="1">
      <alignment horizontal="center" vertical="center" wrapText="1"/>
    </xf>
    <xf numFmtId="2" fontId="92" fillId="13" borderId="73" xfId="0" applyNumberFormat="1" applyFont="1" applyFill="1" applyBorder="1" applyAlignment="1">
      <alignment horizontal="center" vertical="center" wrapText="1"/>
    </xf>
    <xf numFmtId="2" fontId="92" fillId="13" borderId="74" xfId="0" applyNumberFormat="1" applyFont="1" applyFill="1" applyBorder="1" applyAlignment="1">
      <alignment horizontal="center" vertical="center" wrapText="1"/>
    </xf>
    <xf numFmtId="0" fontId="17" fillId="13" borderId="71" xfId="0" applyFont="1" applyFill="1" applyBorder="1" applyAlignment="1">
      <alignment horizontal="center" vertical="center" wrapText="1"/>
    </xf>
    <xf numFmtId="0" fontId="17" fillId="13" borderId="23" xfId="0" applyFont="1" applyFill="1" applyBorder="1" applyAlignment="1">
      <alignment horizontal="center" vertical="center" wrapText="1"/>
    </xf>
    <xf numFmtId="2" fontId="92" fillId="13" borderId="71" xfId="0" applyNumberFormat="1" applyFont="1" applyFill="1" applyBorder="1" applyAlignment="1">
      <alignment horizontal="center" vertical="center" wrapText="1"/>
    </xf>
    <xf numFmtId="2" fontId="92" fillId="13" borderId="78" xfId="0" applyNumberFormat="1" applyFont="1" applyFill="1" applyBorder="1" applyAlignment="1">
      <alignment horizontal="center" vertical="center" wrapText="1"/>
    </xf>
    <xf numFmtId="2" fontId="92" fillId="13" borderId="23" xfId="0" applyNumberFormat="1" applyFont="1" applyFill="1" applyBorder="1" applyAlignment="1">
      <alignment horizontal="center" vertical="center" wrapText="1"/>
    </xf>
    <xf numFmtId="2" fontId="92" fillId="13" borderId="4" xfId="0" applyNumberFormat="1" applyFont="1" applyFill="1" applyBorder="1" applyAlignment="1">
      <alignment horizontal="center" vertical="center" wrapText="1"/>
    </xf>
    <xf numFmtId="0" fontId="0" fillId="13" borderId="78" xfId="0" applyFill="1" applyBorder="1" applyAlignment="1">
      <alignment horizontal="center" vertical="center" wrapText="1"/>
    </xf>
    <xf numFmtId="0" fontId="0" fillId="13" borderId="4" xfId="0" applyFill="1" applyBorder="1" applyAlignment="1">
      <alignment horizontal="center" vertical="center" wrapText="1"/>
    </xf>
    <xf numFmtId="0" fontId="6" fillId="0" borderId="98" xfId="0" applyFont="1" applyBorder="1" applyAlignment="1">
      <alignment horizontal="center" vertical="center" wrapText="1"/>
    </xf>
    <xf numFmtId="0" fontId="6" fillId="0" borderId="99" xfId="0" applyFont="1" applyBorder="1" applyAlignment="1">
      <alignment horizontal="center" vertical="center" wrapText="1"/>
    </xf>
    <xf numFmtId="170" fontId="18" fillId="0" borderId="1" xfId="1" applyNumberFormat="1" applyFont="1" applyBorder="1" applyAlignment="1">
      <alignment horizontal="center" vertical="center" wrapText="1"/>
    </xf>
    <xf numFmtId="170" fontId="18" fillId="0" borderId="76" xfId="1" applyNumberFormat="1" applyFont="1" applyBorder="1" applyAlignment="1">
      <alignment horizontal="center" vertical="center" wrapText="1"/>
    </xf>
    <xf numFmtId="44" fontId="91" fillId="0" borderId="74" xfId="1" applyFont="1" applyBorder="1" applyAlignment="1">
      <alignment horizontal="center" vertical="center"/>
    </xf>
    <xf numFmtId="44" fontId="91" fillId="0" borderId="77" xfId="1" applyFont="1" applyBorder="1" applyAlignment="1">
      <alignment horizontal="center" vertical="center"/>
    </xf>
    <xf numFmtId="44" fontId="91" fillId="0" borderId="1" xfId="1" applyFont="1" applyBorder="1" applyAlignment="1">
      <alignment horizontal="center" vertical="center"/>
    </xf>
    <xf numFmtId="44" fontId="91" fillId="0" borderId="76" xfId="1" applyFont="1" applyBorder="1" applyAlignment="1">
      <alignment horizontal="center" vertical="center"/>
    </xf>
    <xf numFmtId="170" fontId="18" fillId="0" borderId="6" xfId="1" applyNumberFormat="1" applyFont="1" applyBorder="1" applyAlignment="1">
      <alignment horizontal="center" vertical="center" wrapText="1"/>
    </xf>
    <xf numFmtId="170" fontId="18" fillId="0" borderId="93" xfId="1" applyNumberFormat="1" applyFont="1" applyBorder="1" applyAlignment="1">
      <alignment horizontal="center" vertical="center" wrapText="1"/>
    </xf>
    <xf numFmtId="0" fontId="93" fillId="79" borderId="97" xfId="0" applyFont="1" applyFill="1" applyBorder="1" applyAlignment="1">
      <alignment horizontal="center" vertical="center" wrapText="1"/>
    </xf>
    <xf numFmtId="0" fontId="93" fillId="79" borderId="98" xfId="0" applyFont="1" applyFill="1" applyBorder="1" applyAlignment="1">
      <alignment horizontal="center" vertical="center" wrapText="1"/>
    </xf>
    <xf numFmtId="0" fontId="2" fillId="79" borderId="5" xfId="0" applyFont="1" applyFill="1" applyBorder="1" applyAlignment="1">
      <alignment horizontal="center" wrapText="1"/>
    </xf>
    <xf numFmtId="0" fontId="2" fillId="79" borderId="91" xfId="0" applyFont="1" applyFill="1" applyBorder="1" applyAlignment="1">
      <alignment horizontal="center" wrapText="1"/>
    </xf>
    <xf numFmtId="0" fontId="77" fillId="79" borderId="17" xfId="0" applyFont="1" applyFill="1" applyBorder="1" applyAlignment="1">
      <alignment horizontal="center" wrapText="1"/>
    </xf>
    <xf numFmtId="0" fontId="77" fillId="79" borderId="90" xfId="0" applyFont="1" applyFill="1" applyBorder="1" applyAlignment="1">
      <alignment horizontal="center" wrapText="1"/>
    </xf>
    <xf numFmtId="0" fontId="77" fillId="79" borderId="16" xfId="0" applyFont="1" applyFill="1" applyBorder="1" applyAlignment="1">
      <alignment horizontal="center" wrapText="1"/>
    </xf>
    <xf numFmtId="0" fontId="77" fillId="79" borderId="17" xfId="0" applyFont="1" applyFill="1" applyBorder="1" applyAlignment="1">
      <alignment horizontal="center"/>
    </xf>
    <xf numFmtId="0" fontId="77" fillId="79" borderId="90" xfId="0" applyFont="1" applyFill="1" applyBorder="1" applyAlignment="1">
      <alignment horizontal="center"/>
    </xf>
    <xf numFmtId="0" fontId="77" fillId="79" borderId="16" xfId="0" applyFont="1" applyFill="1" applyBorder="1" applyAlignment="1">
      <alignment horizontal="center"/>
    </xf>
    <xf numFmtId="0" fontId="77" fillId="79" borderId="58" xfId="0" applyFont="1" applyFill="1" applyBorder="1" applyAlignment="1">
      <alignment horizontal="center"/>
    </xf>
    <xf numFmtId="0" fontId="77" fillId="79" borderId="18" xfId="0" applyFont="1" applyFill="1" applyBorder="1" applyAlignment="1">
      <alignment horizontal="center"/>
    </xf>
    <xf numFmtId="0" fontId="77" fillId="79" borderId="59" xfId="0" applyFont="1" applyFill="1" applyBorder="1" applyAlignment="1">
      <alignment horizontal="center"/>
    </xf>
    <xf numFmtId="0" fontId="93" fillId="79" borderId="17" xfId="0" applyFont="1" applyFill="1" applyBorder="1" applyAlignment="1">
      <alignment horizontal="center" vertical="center"/>
    </xf>
    <xf numFmtId="0" fontId="93" fillId="79" borderId="90" xfId="0" applyFont="1" applyFill="1" applyBorder="1" applyAlignment="1">
      <alignment horizontal="center" vertical="center"/>
    </xf>
    <xf numFmtId="0" fontId="93" fillId="79" borderId="16" xfId="0" applyFont="1" applyFill="1" applyBorder="1" applyAlignment="1">
      <alignment horizontal="center" vertical="center"/>
    </xf>
    <xf numFmtId="0" fontId="23" fillId="0" borderId="1" xfId="0" applyFont="1" applyBorder="1" applyAlignment="1">
      <alignment horizontal="center" vertical="center" wrapText="1"/>
    </xf>
    <xf numFmtId="0" fontId="23" fillId="74" borderId="1" xfId="0" applyFont="1" applyFill="1" applyBorder="1" applyAlignment="1">
      <alignment horizontal="center" vertical="center" wrapText="1"/>
    </xf>
    <xf numFmtId="0" fontId="2" fillId="74" borderId="1" xfId="0" applyFont="1" applyFill="1" applyBorder="1" applyAlignment="1">
      <alignment horizontal="center"/>
    </xf>
    <xf numFmtId="44" fontId="1" fillId="0" borderId="1" xfId="1" applyFont="1" applyBorder="1" applyAlignment="1">
      <alignment horizontal="center"/>
    </xf>
    <xf numFmtId="44" fontId="6" fillId="0" borderId="1" xfId="1" applyFont="1" applyBorder="1" applyAlignment="1">
      <alignment horizontal="center" wrapText="1"/>
    </xf>
    <xf numFmtId="170" fontId="0" fillId="0" borderId="1" xfId="0" applyNumberFormat="1" applyBorder="1" applyAlignment="1">
      <alignment horizontal="center"/>
    </xf>
    <xf numFmtId="0" fontId="23" fillId="0" borderId="1" xfId="0" applyFont="1" applyBorder="1" applyAlignment="1">
      <alignment vertical="center" wrapText="1"/>
    </xf>
    <xf numFmtId="2" fontId="23" fillId="0" borderId="1" xfId="0" applyNumberFormat="1" applyFont="1" applyBorder="1" applyAlignment="1">
      <alignment horizontal="center" vertical="center" wrapText="1"/>
    </xf>
    <xf numFmtId="0" fontId="23" fillId="0" borderId="1" xfId="0" applyFont="1" applyFill="1" applyBorder="1" applyAlignment="1">
      <alignment horizontal="center" vertical="center" wrapText="1"/>
    </xf>
    <xf numFmtId="2" fontId="0" fillId="0" borderId="1" xfId="0" applyNumberFormat="1" applyFont="1" applyBorder="1" applyAlignment="1">
      <alignment horizontal="center"/>
    </xf>
    <xf numFmtId="44" fontId="0" fillId="0" borderId="1" xfId="1" applyFont="1" applyBorder="1" applyAlignment="1">
      <alignment horizontal="center"/>
    </xf>
    <xf numFmtId="44" fontId="0" fillId="0" borderId="1" xfId="0" applyNumberFormat="1" applyBorder="1" applyAlignment="1">
      <alignment horizontal="center"/>
    </xf>
    <xf numFmtId="44" fontId="0" fillId="0" borderId="33" xfId="0" applyNumberFormat="1" applyBorder="1" applyAlignment="1">
      <alignment horizontal="center"/>
    </xf>
    <xf numFmtId="44" fontId="0" fillId="0" borderId="3" xfId="0" applyNumberFormat="1" applyBorder="1" applyAlignment="1">
      <alignment horizontal="center"/>
    </xf>
    <xf numFmtId="170" fontId="0" fillId="0" borderId="1" xfId="1" applyNumberFormat="1" applyFont="1" applyBorder="1" applyAlignment="1">
      <alignment horizontal="center"/>
    </xf>
    <xf numFmtId="44" fontId="6" fillId="0" borderId="1" xfId="0" applyNumberFormat="1" applyFont="1" applyBorder="1" applyAlignment="1">
      <alignment horizontal="center" wrapText="1"/>
    </xf>
    <xf numFmtId="9" fontId="6" fillId="0" borderId="1" xfId="0" applyNumberFormat="1" applyFont="1" applyBorder="1" applyAlignment="1">
      <alignment horizontal="center" wrapText="1"/>
    </xf>
    <xf numFmtId="0" fontId="6" fillId="0" borderId="1" xfId="0" applyFont="1" applyBorder="1" applyAlignment="1">
      <alignment horizontal="center" wrapText="1"/>
    </xf>
    <xf numFmtId="164" fontId="6" fillId="0" borderId="1" xfId="0" applyNumberFormat="1" applyFont="1" applyBorder="1" applyAlignment="1">
      <alignment horizontal="center" wrapText="1"/>
    </xf>
    <xf numFmtId="44" fontId="0" fillId="0" borderId="1" xfId="1" applyNumberFormat="1" applyFont="1" applyBorder="1" applyAlignment="1">
      <alignment horizontal="center"/>
    </xf>
    <xf numFmtId="0" fontId="0" fillId="74" borderId="1" xfId="0" applyFill="1" applyBorder="1" applyAlignment="1">
      <alignment horizontal="center"/>
    </xf>
    <xf numFmtId="44" fontId="91" fillId="74" borderId="1" xfId="1" applyFont="1" applyFill="1" applyBorder="1" applyAlignment="1">
      <alignment horizontal="center" wrapText="1"/>
    </xf>
    <xf numFmtId="0" fontId="15" fillId="74" borderId="1" xfId="0" applyFont="1" applyFill="1" applyBorder="1" applyAlignment="1">
      <alignment horizontal="center" vertical="center" wrapText="1"/>
    </xf>
    <xf numFmtId="44" fontId="94" fillId="74" borderId="1" xfId="1" applyFont="1" applyFill="1" applyBorder="1" applyAlignment="1">
      <alignment horizontal="center" wrapText="1"/>
    </xf>
    <xf numFmtId="2" fontId="94" fillId="74" borderId="1" xfId="0" applyNumberFormat="1" applyFont="1" applyFill="1" applyBorder="1" applyAlignment="1">
      <alignment horizontal="center" vertical="center" wrapText="1"/>
    </xf>
    <xf numFmtId="0" fontId="9" fillId="74" borderId="1" xfId="0" applyFont="1" applyFill="1" applyBorder="1" applyAlignment="1">
      <alignment horizontal="center" wrapText="1"/>
    </xf>
    <xf numFmtId="2" fontId="23" fillId="0" borderId="33" xfId="0" applyNumberFormat="1" applyFont="1" applyBorder="1" applyAlignment="1">
      <alignment horizontal="center" vertical="center" wrapText="1"/>
    </xf>
    <xf numFmtId="2" fontId="23" fillId="0" borderId="3" xfId="0" applyNumberFormat="1" applyFont="1" applyBorder="1" applyAlignment="1">
      <alignment horizontal="center" vertical="center" wrapText="1"/>
    </xf>
    <xf numFmtId="2" fontId="0" fillId="0" borderId="33" xfId="0" applyNumberFormat="1" applyFont="1" applyBorder="1" applyAlignment="1">
      <alignment horizontal="center"/>
    </xf>
    <xf numFmtId="2" fontId="0" fillId="0" borderId="3" xfId="0" applyNumberFormat="1" applyFont="1" applyBorder="1" applyAlignment="1">
      <alignment horizontal="center"/>
    </xf>
    <xf numFmtId="0" fontId="23" fillId="0" borderId="33" xfId="0" applyFont="1" applyBorder="1" applyAlignment="1">
      <alignment horizontal="center" vertical="center" wrapText="1"/>
    </xf>
    <xf numFmtId="0" fontId="23" fillId="0" borderId="3" xfId="0" applyFont="1" applyBorder="1" applyAlignment="1">
      <alignment horizontal="center" vertical="center" wrapText="1"/>
    </xf>
    <xf numFmtId="44" fontId="0" fillId="0" borderId="33" xfId="1" applyFont="1" applyBorder="1" applyAlignment="1">
      <alignment horizontal="center"/>
    </xf>
    <xf numFmtId="44" fontId="0" fillId="0" borderId="3" xfId="1" applyFont="1" applyBorder="1" applyAlignment="1">
      <alignment horizontal="center"/>
    </xf>
    <xf numFmtId="2" fontId="0" fillId="0" borderId="69" xfId="0" applyNumberFormat="1" applyFont="1" applyBorder="1" applyAlignment="1">
      <alignment horizontal="center"/>
    </xf>
    <xf numFmtId="2" fontId="0" fillId="0" borderId="11" xfId="0" applyNumberFormat="1" applyFont="1" applyBorder="1" applyAlignment="1">
      <alignment horizontal="center"/>
    </xf>
    <xf numFmtId="0" fontId="0" fillId="0" borderId="33" xfId="0" applyFont="1" applyBorder="1" applyAlignment="1">
      <alignment horizontal="center"/>
    </xf>
    <xf numFmtId="0" fontId="0" fillId="0" borderId="3" xfId="0" applyFont="1" applyBorder="1" applyAlignment="1">
      <alignment horizontal="center"/>
    </xf>
    <xf numFmtId="170" fontId="0" fillId="6" borderId="1" xfId="1" applyNumberFormat="1" applyFont="1" applyFill="1" applyBorder="1" applyAlignment="1">
      <alignment horizontal="center"/>
    </xf>
    <xf numFmtId="44" fontId="6" fillId="0" borderId="1" xfId="1" applyNumberFormat="1" applyFont="1" applyBorder="1" applyAlignment="1">
      <alignment horizontal="center" wrapText="1"/>
    </xf>
    <xf numFmtId="44" fontId="0" fillId="6" borderId="1" xfId="1" applyFont="1" applyFill="1" applyBorder="1" applyAlignment="1">
      <alignment horizontal="center"/>
    </xf>
    <xf numFmtId="0" fontId="0" fillId="0" borderId="1" xfId="0" applyFont="1" applyBorder="1" applyAlignment="1">
      <alignment horizontal="center"/>
    </xf>
    <xf numFmtId="0" fontId="23" fillId="0" borderId="68" xfId="0" applyFont="1" applyBorder="1" applyAlignment="1">
      <alignment horizontal="center" vertical="center" wrapText="1"/>
    </xf>
    <xf numFmtId="2" fontId="23" fillId="0" borderId="68" xfId="0" applyNumberFormat="1" applyFont="1" applyBorder="1" applyAlignment="1">
      <alignment horizontal="center" vertical="center" wrapText="1"/>
    </xf>
    <xf numFmtId="0" fontId="2" fillId="78" borderId="68" xfId="0" applyFont="1" applyFill="1" applyBorder="1" applyAlignment="1">
      <alignment horizontal="center" vertical="center" wrapText="1"/>
    </xf>
    <xf numFmtId="0" fontId="2" fillId="78" borderId="3" xfId="0" applyFont="1" applyFill="1" applyBorder="1" applyAlignment="1">
      <alignment horizontal="center" vertical="center" wrapText="1"/>
    </xf>
    <xf numFmtId="0" fontId="2" fillId="78" borderId="81" xfId="0" applyFont="1" applyFill="1" applyBorder="1" applyAlignment="1">
      <alignment horizontal="center" vertical="center" wrapText="1"/>
    </xf>
    <xf numFmtId="0" fontId="2" fillId="78" borderId="83" xfId="0" applyFont="1" applyFill="1" applyBorder="1" applyAlignment="1">
      <alignment horizontal="center" vertical="center" wrapText="1"/>
    </xf>
    <xf numFmtId="0" fontId="76" fillId="74" borderId="1" xfId="0" applyFont="1" applyFill="1" applyBorder="1" applyAlignment="1">
      <alignment horizontal="center" vertical="center" wrapText="1"/>
    </xf>
    <xf numFmtId="0" fontId="2" fillId="74" borderId="4" xfId="0" applyFont="1" applyFill="1" applyBorder="1" applyAlignment="1">
      <alignment horizontal="center"/>
    </xf>
    <xf numFmtId="0" fontId="2" fillId="74" borderId="5" xfId="0" applyFont="1" applyFill="1" applyBorder="1" applyAlignment="1">
      <alignment horizontal="center"/>
    </xf>
    <xf numFmtId="0" fontId="2" fillId="74" borderId="6" xfId="0" applyFont="1" applyFill="1" applyBorder="1" applyAlignment="1">
      <alignment horizontal="center"/>
    </xf>
    <xf numFmtId="0" fontId="2" fillId="78" borderId="1" xfId="0" applyFont="1" applyFill="1" applyBorder="1" applyAlignment="1">
      <alignment horizontal="center" vertical="center"/>
    </xf>
    <xf numFmtId="0" fontId="2" fillId="74" borderId="9" xfId="0" applyFont="1" applyFill="1" applyBorder="1" applyAlignment="1">
      <alignment horizontal="center"/>
    </xf>
    <xf numFmtId="0" fontId="2" fillId="74" borderId="7" xfId="0" applyFont="1" applyFill="1" applyBorder="1" applyAlignment="1">
      <alignment horizontal="center"/>
    </xf>
    <xf numFmtId="0" fontId="23" fillId="0" borderId="1" xfId="0" applyFont="1" applyBorder="1" applyAlignment="1">
      <alignment horizontal="center" vertical="center"/>
    </xf>
    <xf numFmtId="0" fontId="2" fillId="74" borderId="37" xfId="0" applyFont="1" applyFill="1" applyBorder="1" applyAlignment="1">
      <alignment horizontal="center"/>
    </xf>
    <xf numFmtId="0" fontId="2" fillId="74" borderId="34" xfId="0" applyFont="1" applyFill="1" applyBorder="1" applyAlignment="1">
      <alignment horizontal="center"/>
    </xf>
    <xf numFmtId="0" fontId="2" fillId="74" borderId="36" xfId="0" applyFont="1" applyFill="1" applyBorder="1" applyAlignment="1">
      <alignment horizontal="center"/>
    </xf>
    <xf numFmtId="0" fontId="0" fillId="0" borderId="2" xfId="0" applyFont="1" applyBorder="1" applyAlignment="1">
      <alignment horizontal="center"/>
    </xf>
    <xf numFmtId="2" fontId="0" fillId="0" borderId="36" xfId="0" applyNumberFormat="1" applyFont="1" applyBorder="1" applyAlignment="1">
      <alignment horizontal="center"/>
    </xf>
    <xf numFmtId="2" fontId="0" fillId="0" borderId="2" xfId="0" applyNumberFormat="1" applyFont="1" applyBorder="1" applyAlignment="1">
      <alignment horizontal="center"/>
    </xf>
    <xf numFmtId="44" fontId="0" fillId="0" borderId="2" xfId="0" applyNumberFormat="1" applyBorder="1" applyAlignment="1">
      <alignment horizontal="center"/>
    </xf>
    <xf numFmtId="44" fontId="0" fillId="0" borderId="1" xfId="1" applyFont="1" applyFill="1" applyBorder="1" applyAlignment="1">
      <alignment horizontal="center"/>
    </xf>
    <xf numFmtId="44" fontId="0" fillId="0" borderId="2" xfId="1" applyFont="1" applyBorder="1" applyAlignment="1">
      <alignment horizontal="center"/>
    </xf>
    <xf numFmtId="0" fontId="0" fillId="0" borderId="2" xfId="0" applyBorder="1" applyAlignment="1">
      <alignment horizontal="center"/>
    </xf>
    <xf numFmtId="0" fontId="23" fillId="0" borderId="2" xfId="0" applyFont="1" applyBorder="1" applyAlignment="1">
      <alignment horizontal="center" vertical="center" wrapText="1"/>
    </xf>
    <xf numFmtId="2" fontId="23" fillId="0" borderId="4" xfId="0" applyNumberFormat="1" applyFont="1" applyBorder="1" applyAlignment="1">
      <alignment horizontal="center" vertical="center" wrapText="1"/>
    </xf>
    <xf numFmtId="2" fontId="0" fillId="0" borderId="6" xfId="0" applyNumberFormat="1" applyFont="1" applyBorder="1" applyAlignment="1">
      <alignment horizontal="center"/>
    </xf>
    <xf numFmtId="0" fontId="0" fillId="0" borderId="3" xfId="0" applyBorder="1" applyAlignment="1">
      <alignment horizontal="center"/>
    </xf>
    <xf numFmtId="2" fontId="0" fillId="0" borderId="66" xfId="0" applyNumberFormat="1" applyFont="1" applyBorder="1" applyAlignment="1">
      <alignment horizontal="center"/>
    </xf>
    <xf numFmtId="2" fontId="0" fillId="0" borderId="1" xfId="0" applyNumberFormat="1" applyFont="1" applyBorder="1" applyAlignment="1">
      <alignment horizontal="center" vertical="center"/>
    </xf>
    <xf numFmtId="0" fontId="23" fillId="74" borderId="4" xfId="0" applyFont="1" applyFill="1" applyBorder="1" applyAlignment="1">
      <alignment horizontal="center" vertical="center" wrapText="1"/>
    </xf>
    <xf numFmtId="0" fontId="23" fillId="74" borderId="5" xfId="0" applyFont="1" applyFill="1" applyBorder="1" applyAlignment="1">
      <alignment horizontal="center" vertical="center" wrapText="1"/>
    </xf>
    <xf numFmtId="0" fontId="23" fillId="74" borderId="6" xfId="0" applyFont="1" applyFill="1" applyBorder="1" applyAlignment="1">
      <alignment horizontal="center" vertical="center" wrapText="1"/>
    </xf>
    <xf numFmtId="0" fontId="8" fillId="13" borderId="1" xfId="0" applyFont="1" applyFill="1" applyBorder="1" applyAlignment="1">
      <alignment horizontal="center" vertical="center" wrapText="1"/>
    </xf>
    <xf numFmtId="0" fontId="18" fillId="13" borderId="4" xfId="0" applyFont="1" applyFill="1" applyBorder="1" applyAlignment="1">
      <alignment horizontal="center"/>
    </xf>
    <xf numFmtId="0" fontId="18" fillId="13" borderId="5" xfId="0" applyFont="1" applyFill="1" applyBorder="1" applyAlignment="1">
      <alignment horizontal="center"/>
    </xf>
    <xf numFmtId="0" fontId="18" fillId="13" borderId="6" xfId="0" applyFont="1" applyFill="1" applyBorder="1" applyAlignment="1">
      <alignment horizontal="center"/>
    </xf>
    <xf numFmtId="0" fontId="8" fillId="13" borderId="4" xfId="0" applyFont="1" applyFill="1" applyBorder="1" applyAlignment="1">
      <alignment horizontal="center" vertical="center" wrapText="1"/>
    </xf>
    <xf numFmtId="0" fontId="8" fillId="13" borderId="5" xfId="0" applyFont="1" applyFill="1" applyBorder="1" applyAlignment="1">
      <alignment horizontal="center" vertical="center" wrapText="1"/>
    </xf>
    <xf numFmtId="0" fontId="8" fillId="13" borderId="6" xfId="0" applyFont="1" applyFill="1" applyBorder="1" applyAlignment="1">
      <alignment horizontal="center" vertical="center" wrapText="1"/>
    </xf>
    <xf numFmtId="0" fontId="67" fillId="13" borderId="1" xfId="0" applyFont="1" applyFill="1" applyBorder="1" applyAlignment="1">
      <alignment horizontal="center"/>
    </xf>
    <xf numFmtId="0" fontId="12" fillId="0" borderId="1" xfId="0" applyFont="1" applyBorder="1" applyAlignment="1">
      <alignment horizontal="center" vertical="center"/>
    </xf>
    <xf numFmtId="0" fontId="18" fillId="13" borderId="1" xfId="0" applyFont="1" applyFill="1" applyBorder="1" applyAlignment="1">
      <alignment horizontal="center"/>
    </xf>
    <xf numFmtId="0" fontId="18" fillId="5" borderId="37" xfId="0" applyFont="1" applyFill="1" applyBorder="1" applyAlignment="1">
      <alignment horizontal="center"/>
    </xf>
    <xf numFmtId="0" fontId="18" fillId="5" borderId="34" xfId="0" applyFont="1" applyFill="1" applyBorder="1" applyAlignment="1">
      <alignment horizontal="center"/>
    </xf>
    <xf numFmtId="0" fontId="18" fillId="5" borderId="36" xfId="0" applyFont="1" applyFill="1" applyBorder="1" applyAlignment="1">
      <alignment horizontal="center"/>
    </xf>
    <xf numFmtId="0" fontId="8" fillId="4" borderId="1"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6" fillId="5" borderId="33"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37" xfId="0" applyFont="1" applyFill="1" applyBorder="1" applyAlignment="1">
      <alignment horizontal="center"/>
    </xf>
    <xf numFmtId="0" fontId="6" fillId="5" borderId="34" xfId="0" applyFont="1" applyFill="1" applyBorder="1" applyAlignment="1">
      <alignment horizontal="center"/>
    </xf>
    <xf numFmtId="0" fontId="6" fillId="5" borderId="36" xfId="0" applyFont="1" applyFill="1" applyBorder="1" applyAlignment="1">
      <alignment horizontal="center"/>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1" xfId="0" applyFill="1" applyBorder="1" applyAlignment="1">
      <alignment horizontal="center"/>
    </xf>
    <xf numFmtId="0" fontId="18" fillId="5" borderId="1" xfId="0" applyFont="1" applyFill="1" applyBorder="1" applyAlignment="1">
      <alignment horizontal="center"/>
    </xf>
    <xf numFmtId="0" fontId="18" fillId="5" borderId="4" xfId="0" applyFont="1" applyFill="1" applyBorder="1" applyAlignment="1">
      <alignment horizontal="center"/>
    </xf>
    <xf numFmtId="0" fontId="18" fillId="5" borderId="5" xfId="0" applyFont="1" applyFill="1" applyBorder="1" applyAlignment="1">
      <alignment horizontal="center"/>
    </xf>
    <xf numFmtId="0" fontId="18" fillId="5" borderId="6" xfId="0" applyFont="1" applyFill="1" applyBorder="1" applyAlignment="1">
      <alignment horizontal="center"/>
    </xf>
    <xf numFmtId="2" fontId="92" fillId="7" borderId="1" xfId="0" applyNumberFormat="1" applyFont="1" applyFill="1" applyBorder="1" applyAlignment="1">
      <alignment horizontal="center" vertical="center" wrapText="1"/>
    </xf>
    <xf numFmtId="2" fontId="92" fillId="7" borderId="37" xfId="0" applyNumberFormat="1" applyFont="1" applyFill="1" applyBorder="1" applyAlignment="1">
      <alignment horizontal="center" vertical="center" wrapText="1"/>
    </xf>
    <xf numFmtId="2" fontId="92" fillId="7" borderId="34" xfId="0" applyNumberFormat="1" applyFont="1" applyFill="1" applyBorder="1" applyAlignment="1">
      <alignment horizontal="center" vertical="center" wrapText="1"/>
    </xf>
    <xf numFmtId="2" fontId="92" fillId="7" borderId="36" xfId="0" applyNumberFormat="1" applyFont="1" applyFill="1" applyBorder="1" applyAlignment="1">
      <alignment horizontal="center" vertical="center" wrapText="1"/>
    </xf>
    <xf numFmtId="0" fontId="0" fillId="7" borderId="37" xfId="0" applyFill="1" applyBorder="1" applyAlignment="1">
      <alignment horizontal="center" wrapText="1"/>
    </xf>
    <xf numFmtId="0" fontId="0" fillId="7" borderId="34" xfId="0" applyFill="1" applyBorder="1" applyAlignment="1">
      <alignment horizontal="center" wrapText="1"/>
    </xf>
    <xf numFmtId="0" fontId="0" fillId="7" borderId="36" xfId="0" applyFill="1" applyBorder="1" applyAlignment="1">
      <alignment horizontal="center" wrapText="1"/>
    </xf>
    <xf numFmtId="0" fontId="17" fillId="7" borderId="1" xfId="0" applyFont="1" applyFill="1" applyBorder="1" applyAlignment="1">
      <alignment horizontal="center" vertical="center" wrapText="1"/>
    </xf>
    <xf numFmtId="44" fontId="4" fillId="0" borderId="33" xfId="1" applyFont="1" applyBorder="1" applyAlignment="1">
      <alignment horizontal="center" vertical="center" wrapText="1"/>
    </xf>
    <xf numFmtId="44" fontId="4" fillId="0" borderId="8" xfId="1" applyFont="1" applyBorder="1" applyAlignment="1">
      <alignment horizontal="center" vertical="center" wrapText="1"/>
    </xf>
    <xf numFmtId="44" fontId="4" fillId="0" borderId="3" xfId="1" applyFont="1" applyBorder="1" applyAlignment="1">
      <alignment horizontal="center" vertical="center" wrapText="1"/>
    </xf>
    <xf numFmtId="44" fontId="0" fillId="0" borderId="1" xfId="0" applyNumberFormat="1" applyBorder="1" applyAlignment="1">
      <alignment horizontal="center" vertical="center" wrapText="1"/>
    </xf>
    <xf numFmtId="0" fontId="78" fillId="7" borderId="35" xfId="0" applyFont="1" applyFill="1" applyBorder="1" applyAlignment="1">
      <alignment horizontal="center" vertical="center" wrapText="1"/>
    </xf>
    <xf numFmtId="0" fontId="78" fillId="7" borderId="80" xfId="0" applyFont="1" applyFill="1" applyBorder="1" applyAlignment="1">
      <alignment horizontal="center" vertical="center" wrapText="1"/>
    </xf>
    <xf numFmtId="0" fontId="78" fillId="7" borderId="66" xfId="0" applyFont="1" applyFill="1" applyBorder="1" applyAlignment="1">
      <alignment horizontal="center" vertical="center" wrapText="1"/>
    </xf>
    <xf numFmtId="0" fontId="4" fillId="0" borderId="3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0" fillId="7" borderId="1" xfId="0" applyFont="1" applyFill="1" applyBorder="1" applyAlignment="1">
      <alignment horizontal="center"/>
    </xf>
    <xf numFmtId="0" fontId="17" fillId="7" borderId="37" xfId="0" applyFont="1" applyFill="1" applyBorder="1" applyAlignment="1">
      <alignment horizontal="center" vertical="center" wrapText="1"/>
    </xf>
    <xf numFmtId="0" fontId="17" fillId="7" borderId="34" xfId="0" applyFont="1" applyFill="1" applyBorder="1" applyAlignment="1">
      <alignment horizontal="center" vertical="center" wrapText="1"/>
    </xf>
    <xf numFmtId="0" fontId="17" fillId="7" borderId="36" xfId="0" applyFont="1" applyFill="1" applyBorder="1" applyAlignment="1">
      <alignment horizontal="center" vertical="center" wrapText="1"/>
    </xf>
    <xf numFmtId="0" fontId="17" fillId="7" borderId="33"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3" xfId="0" applyFont="1" applyFill="1" applyBorder="1" applyAlignment="1">
      <alignment horizontal="center" vertical="center" wrapText="1"/>
    </xf>
    <xf numFmtId="44" fontId="92" fillId="7" borderId="1" xfId="1" applyFont="1" applyFill="1" applyBorder="1" applyAlignment="1">
      <alignment horizontal="center" wrapText="1"/>
    </xf>
    <xf numFmtId="0" fontId="5" fillId="7" borderId="1" xfId="0" applyFont="1" applyFill="1" applyBorder="1" applyAlignment="1">
      <alignment horizontal="center" vertical="center" wrapText="1"/>
    </xf>
    <xf numFmtId="0" fontId="17" fillId="7" borderId="35" xfId="0" applyFont="1" applyFill="1" applyBorder="1" applyAlignment="1">
      <alignment horizontal="center" vertical="center" wrapText="1"/>
    </xf>
    <xf numFmtId="0" fontId="17" fillId="7" borderId="80" xfId="0" applyFont="1" applyFill="1" applyBorder="1" applyAlignment="1">
      <alignment horizontal="center" vertical="center" wrapText="1"/>
    </xf>
    <xf numFmtId="0" fontId="17" fillId="7" borderId="66"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11" xfId="0" applyFont="1" applyFill="1" applyBorder="1" applyAlignment="1">
      <alignment horizontal="center" vertical="center" wrapText="1"/>
    </xf>
    <xf numFmtId="0" fontId="91" fillId="7" borderId="37" xfId="0" applyFont="1" applyFill="1" applyBorder="1" applyAlignment="1">
      <alignment horizontal="center" vertical="center" wrapText="1"/>
    </xf>
    <xf numFmtId="0" fontId="91" fillId="7" borderId="34" xfId="0" applyFont="1" applyFill="1" applyBorder="1" applyAlignment="1">
      <alignment horizontal="center" vertical="center" wrapText="1"/>
    </xf>
    <xf numFmtId="0" fontId="91" fillId="7" borderId="36" xfId="0" applyFont="1" applyFill="1" applyBorder="1" applyAlignment="1">
      <alignment horizontal="center" vertical="center" wrapText="1"/>
    </xf>
    <xf numFmtId="0" fontId="78" fillId="7" borderId="37" xfId="0" applyFont="1" applyFill="1" applyBorder="1" applyAlignment="1">
      <alignment horizontal="center" vertical="center" wrapText="1"/>
    </xf>
    <xf numFmtId="0" fontId="78" fillId="7" borderId="34" xfId="0" applyFont="1" applyFill="1" applyBorder="1" applyAlignment="1">
      <alignment horizontal="center" vertical="center" wrapText="1"/>
    </xf>
    <xf numFmtId="0" fontId="2" fillId="2" borderId="23" xfId="0" applyFont="1" applyFill="1" applyBorder="1" applyAlignment="1">
      <alignment horizontal="center"/>
    </xf>
    <xf numFmtId="0" fontId="77" fillId="2" borderId="71" xfId="0" applyFont="1" applyFill="1" applyBorder="1" applyAlignment="1">
      <alignment horizontal="center"/>
    </xf>
    <xf numFmtId="0" fontId="77" fillId="2" borderId="72" xfId="0" applyFont="1" applyFill="1" applyBorder="1" applyAlignment="1">
      <alignment horizontal="center"/>
    </xf>
    <xf numFmtId="0" fontId="77" fillId="2" borderId="73" xfId="0" applyFont="1" applyFill="1" applyBorder="1" applyAlignment="1">
      <alignment horizontal="center"/>
    </xf>
    <xf numFmtId="0" fontId="0" fillId="2" borderId="23" xfId="0" applyFill="1" applyBorder="1" applyAlignment="1">
      <alignment horizontal="center"/>
    </xf>
    <xf numFmtId="0" fontId="6" fillId="0" borderId="1" xfId="0" applyFont="1" applyBorder="1" applyAlignment="1">
      <alignment horizontal="center"/>
    </xf>
    <xf numFmtId="44" fontId="6" fillId="0" borderId="1" xfId="0" applyNumberFormat="1" applyFont="1" applyBorder="1" applyAlignment="1">
      <alignment horizontal="center"/>
    </xf>
    <xf numFmtId="0" fontId="6" fillId="0" borderId="76" xfId="0" applyFont="1" applyBorder="1" applyAlignment="1">
      <alignment horizontal="center"/>
    </xf>
    <xf numFmtId="170" fontId="6" fillId="0" borderId="1" xfId="0" applyNumberFormat="1" applyFont="1" applyBorder="1" applyAlignment="1">
      <alignment horizontal="left" indent="4"/>
    </xf>
    <xf numFmtId="170" fontId="6" fillId="0" borderId="76" xfId="0" applyNumberFormat="1" applyFont="1" applyBorder="1" applyAlignment="1">
      <alignment horizontal="left" indent="4"/>
    </xf>
    <xf numFmtId="0" fontId="0" fillId="0" borderId="23" xfId="0" applyBorder="1" applyAlignment="1">
      <alignment horizontal="center" vertical="center"/>
    </xf>
    <xf numFmtId="0" fontId="0" fillId="0" borderId="75" xfId="0" applyBorder="1" applyAlignment="1">
      <alignment horizontal="center" vertical="center"/>
    </xf>
    <xf numFmtId="44" fontId="6" fillId="0" borderId="76" xfId="0" applyNumberFormat="1" applyFont="1" applyBorder="1" applyAlignment="1">
      <alignment horizontal="center"/>
    </xf>
    <xf numFmtId="170" fontId="6" fillId="0" borderId="1" xfId="0" applyNumberFormat="1" applyFont="1" applyBorder="1" applyAlignment="1">
      <alignment horizontal="center"/>
    </xf>
    <xf numFmtId="170" fontId="6" fillId="0" borderId="76" xfId="0" applyNumberFormat="1" applyFont="1" applyBorder="1" applyAlignment="1">
      <alignment horizontal="center"/>
    </xf>
    <xf numFmtId="0" fontId="0" fillId="2" borderId="37" xfId="0" applyFill="1" applyBorder="1" applyAlignment="1">
      <alignment horizontal="center"/>
    </xf>
    <xf numFmtId="0" fontId="0" fillId="2" borderId="34" xfId="0" applyFill="1" applyBorder="1" applyAlignment="1">
      <alignment horizontal="center"/>
    </xf>
    <xf numFmtId="0" fontId="0" fillId="2" borderId="36" xfId="0" applyFill="1" applyBorder="1" applyAlignment="1">
      <alignment horizontal="center"/>
    </xf>
    <xf numFmtId="0" fontId="76" fillId="4" borderId="1" xfId="0" applyFont="1" applyFill="1" applyBorder="1" applyAlignment="1">
      <alignment vertical="center"/>
    </xf>
    <xf numFmtId="0" fontId="76" fillId="4" borderId="1" xfId="0" applyFont="1" applyFill="1" applyBorder="1" applyAlignment="1">
      <alignment horizontal="center" vertical="center"/>
    </xf>
    <xf numFmtId="0" fontId="0" fillId="2" borderId="7" xfId="0" applyFill="1" applyBorder="1" applyAlignment="1">
      <alignment horizontal="center" wrapText="1"/>
    </xf>
    <xf numFmtId="0" fontId="4" fillId="2" borderId="7" xfId="0" applyFont="1" applyFill="1" applyBorder="1" applyAlignment="1">
      <alignment horizontal="center" vertical="center" wrapText="1"/>
    </xf>
    <xf numFmtId="0" fontId="0" fillId="0" borderId="0" xfId="0" applyBorder="1" applyAlignment="1">
      <alignment horizontal="left" wrapText="1"/>
    </xf>
    <xf numFmtId="0" fontId="2" fillId="8" borderId="23" xfId="0" applyFont="1" applyFill="1" applyBorder="1" applyAlignment="1">
      <alignment horizontal="center"/>
    </xf>
    <xf numFmtId="0" fontId="2" fillId="8" borderId="1" xfId="0" applyFont="1" applyFill="1" applyBorder="1" applyAlignment="1">
      <alignment horizontal="center"/>
    </xf>
    <xf numFmtId="0" fontId="2" fillId="8" borderId="74" xfId="0" applyFont="1" applyFill="1"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0" fillId="0" borderId="23" xfId="0" applyBorder="1" applyAlignment="1">
      <alignment horizontal="center"/>
    </xf>
    <xf numFmtId="0" fontId="0" fillId="0" borderId="74" xfId="0" applyBorder="1" applyAlignment="1">
      <alignment horizontal="center"/>
    </xf>
    <xf numFmtId="44" fontId="13" fillId="0" borderId="23" xfId="1" applyFont="1" applyBorder="1" applyAlignment="1">
      <alignment horizontal="center" vertical="center" wrapText="1"/>
    </xf>
    <xf numFmtId="44" fontId="13" fillId="0" borderId="75" xfId="1" applyFont="1" applyBorder="1" applyAlignment="1">
      <alignment horizontal="center" vertical="center" wrapText="1"/>
    </xf>
    <xf numFmtId="2" fontId="15" fillId="13" borderId="58" xfId="0" applyNumberFormat="1" applyFont="1" applyFill="1" applyBorder="1" applyAlignment="1">
      <alignment horizontal="center" wrapText="1"/>
    </xf>
    <xf numFmtId="2" fontId="15" fillId="13" borderId="63" xfId="0" applyNumberFormat="1" applyFont="1" applyFill="1" applyBorder="1" applyAlignment="1">
      <alignment horizontal="center" wrapText="1"/>
    </xf>
    <xf numFmtId="2" fontId="15" fillId="13" borderId="85" xfId="0" applyNumberFormat="1" applyFont="1" applyFill="1" applyBorder="1" applyAlignment="1">
      <alignment horizontal="center" wrapText="1"/>
    </xf>
    <xf numFmtId="0" fontId="13" fillId="13" borderId="58" xfId="0" applyFont="1" applyFill="1" applyBorder="1" applyAlignment="1">
      <alignment horizontal="center" wrapText="1"/>
    </xf>
    <xf numFmtId="0" fontId="13" fillId="13" borderId="63" xfId="0" applyFont="1" applyFill="1" applyBorder="1" applyAlignment="1">
      <alignment horizontal="center" wrapText="1"/>
    </xf>
    <xf numFmtId="0" fontId="13" fillId="13" borderId="85" xfId="0" applyFont="1" applyFill="1" applyBorder="1" applyAlignment="1">
      <alignment horizontal="center" wrapText="1"/>
    </xf>
    <xf numFmtId="44" fontId="15" fillId="13" borderId="48" xfId="1" applyFont="1" applyFill="1" applyBorder="1" applyAlignment="1">
      <alignment horizontal="center" wrapText="1"/>
    </xf>
    <xf numFmtId="44" fontId="15" fillId="13" borderId="8" xfId="1" applyFont="1" applyFill="1" applyBorder="1" applyAlignment="1">
      <alignment horizontal="center" wrapText="1"/>
    </xf>
    <xf numFmtId="44" fontId="15" fillId="13" borderId="3" xfId="1" applyFont="1" applyFill="1" applyBorder="1" applyAlignment="1">
      <alignment horizontal="center" wrapText="1"/>
    </xf>
    <xf numFmtId="0" fontId="13" fillId="13" borderId="71" xfId="0" applyFont="1" applyFill="1" applyBorder="1" applyAlignment="1">
      <alignment horizontal="center"/>
    </xf>
    <xf numFmtId="0" fontId="13" fillId="13" borderId="72" xfId="0" applyFont="1" applyFill="1" applyBorder="1" applyAlignment="1">
      <alignment horizontal="center"/>
    </xf>
    <xf numFmtId="0" fontId="13" fillId="13" borderId="78" xfId="0" applyFont="1" applyFill="1" applyBorder="1" applyAlignment="1">
      <alignment horizontal="center"/>
    </xf>
    <xf numFmtId="0" fontId="13" fillId="13" borderId="75" xfId="0" applyFont="1" applyFill="1" applyBorder="1" applyAlignment="1">
      <alignment horizontal="center"/>
    </xf>
    <xf numFmtId="0" fontId="13" fillId="13" borderId="76" xfId="0" applyFont="1" applyFill="1" applyBorder="1" applyAlignment="1">
      <alignment horizontal="center"/>
    </xf>
    <xf numFmtId="0" fontId="13" fillId="13" borderId="79" xfId="0" applyFont="1" applyFill="1" applyBorder="1" applyAlignment="1">
      <alignment horizontal="center"/>
    </xf>
    <xf numFmtId="0" fontId="15" fillId="13" borderId="85" xfId="0" applyFont="1" applyFill="1" applyBorder="1" applyAlignment="1">
      <alignment horizontal="left" wrapText="1"/>
    </xf>
    <xf numFmtId="0" fontId="15" fillId="13" borderId="92" xfId="0" applyFont="1" applyFill="1" applyBorder="1" applyAlignment="1">
      <alignment horizontal="left" wrapText="1"/>
    </xf>
    <xf numFmtId="0" fontId="15" fillId="13" borderId="43" xfId="0" applyFont="1" applyFill="1" applyBorder="1" applyAlignment="1">
      <alignment horizontal="center" wrapText="1"/>
    </xf>
    <xf numFmtId="0" fontId="15" fillId="13" borderId="87" xfId="0" applyFont="1" applyFill="1" applyBorder="1" applyAlignment="1">
      <alignment horizontal="center" wrapText="1"/>
    </xf>
    <xf numFmtId="0" fontId="15" fillId="13" borderId="83" xfId="0" applyFont="1" applyFill="1" applyBorder="1" applyAlignment="1">
      <alignment horizontal="center" wrapText="1"/>
    </xf>
    <xf numFmtId="44" fontId="15" fillId="13" borderId="72" xfId="1" applyFont="1" applyFill="1" applyBorder="1" applyAlignment="1">
      <alignment horizontal="center" wrapText="1"/>
    </xf>
    <xf numFmtId="44" fontId="15" fillId="13" borderId="1" xfId="1" applyFont="1" applyFill="1" applyBorder="1" applyAlignment="1">
      <alignment horizontal="center" wrapText="1"/>
    </xf>
    <xf numFmtId="2" fontId="15" fillId="13" borderId="72" xfId="0" applyNumberFormat="1" applyFont="1" applyFill="1" applyBorder="1" applyAlignment="1">
      <alignment horizontal="center" wrapText="1"/>
    </xf>
    <xf numFmtId="2" fontId="15" fillId="13" borderId="1" xfId="0" applyNumberFormat="1" applyFont="1" applyFill="1" applyBorder="1" applyAlignment="1">
      <alignment horizontal="center" wrapText="1"/>
    </xf>
    <xf numFmtId="2" fontId="15" fillId="13" borderId="73" xfId="0" applyNumberFormat="1" applyFont="1" applyFill="1" applyBorder="1" applyAlignment="1">
      <alignment horizontal="center" wrapText="1"/>
    </xf>
    <xf numFmtId="2" fontId="15" fillId="13" borderId="74" xfId="0" applyNumberFormat="1" applyFont="1" applyFill="1" applyBorder="1" applyAlignment="1">
      <alignment horizontal="center" wrapText="1"/>
    </xf>
    <xf numFmtId="0" fontId="26" fillId="9" borderId="1" xfId="0" applyFont="1" applyFill="1" applyBorder="1" applyAlignment="1">
      <alignment horizontal="center" vertical="center" wrapText="1"/>
    </xf>
    <xf numFmtId="0" fontId="24" fillId="0" borderId="0" xfId="0" applyFont="1" applyBorder="1" applyAlignment="1">
      <alignment horizontal="center" wrapText="1"/>
    </xf>
    <xf numFmtId="0" fontId="0" fillId="0" borderId="0" xfId="0" applyAlignment="1">
      <alignment horizontal="center"/>
    </xf>
    <xf numFmtId="0" fontId="12" fillId="2" borderId="1" xfId="0" applyFont="1" applyFill="1" applyBorder="1" applyAlignment="1">
      <alignment horizontal="center" vertical="center"/>
    </xf>
    <xf numFmtId="0" fontId="4" fillId="0" borderId="1" xfId="0" applyFont="1" applyBorder="1" applyAlignment="1">
      <alignment horizontal="center" wrapText="1"/>
    </xf>
    <xf numFmtId="0" fontId="4" fillId="2" borderId="4" xfId="0" applyFont="1" applyFill="1" applyBorder="1" applyAlignment="1">
      <alignment horizontal="center"/>
    </xf>
    <xf numFmtId="0" fontId="4" fillId="2" borderId="5" xfId="0" applyFont="1" applyFill="1" applyBorder="1" applyAlignment="1">
      <alignment horizontal="center"/>
    </xf>
    <xf numFmtId="0" fontId="4" fillId="2" borderId="6" xfId="0" applyFont="1" applyFill="1" applyBorder="1" applyAlignment="1">
      <alignment horizontal="center"/>
    </xf>
    <xf numFmtId="0" fontId="0" fillId="0" borderId="0" xfId="0" applyFont="1" applyAlignment="1">
      <alignment horizontal="center" wrapText="1"/>
    </xf>
    <xf numFmtId="0" fontId="7" fillId="4" borderId="1" xfId="0" applyFont="1" applyFill="1" applyBorder="1" applyAlignment="1">
      <alignment horizontal="center" vertical="center" wrapText="1"/>
    </xf>
    <xf numFmtId="0" fontId="12" fillId="0" borderId="33" xfId="1" applyNumberFormat="1" applyFont="1" applyBorder="1" applyAlignment="1">
      <alignment horizontal="center" vertical="center"/>
    </xf>
    <xf numFmtId="0" fontId="12" fillId="0" borderId="8" xfId="1" applyNumberFormat="1" applyFont="1" applyBorder="1" applyAlignment="1">
      <alignment horizontal="center" vertical="center"/>
    </xf>
    <xf numFmtId="0" fontId="12" fillId="0" borderId="3" xfId="1" applyNumberFormat="1" applyFont="1" applyBorder="1" applyAlignment="1">
      <alignment horizontal="center" vertical="center"/>
    </xf>
    <xf numFmtId="0" fontId="0" fillId="0" borderId="1" xfId="0" applyBorder="1" applyAlignment="1">
      <alignment horizontal="center" vertical="center"/>
    </xf>
    <xf numFmtId="44" fontId="0" fillId="0" borderId="1" xfId="1" applyFont="1" applyFill="1" applyBorder="1" applyAlignment="1">
      <alignment horizontal="center" vertical="center"/>
    </xf>
    <xf numFmtId="0" fontId="77" fillId="79" borderId="71" xfId="0" applyFont="1" applyFill="1" applyBorder="1" applyAlignment="1">
      <alignment horizontal="center"/>
    </xf>
    <xf numFmtId="0" fontId="77" fillId="79" borderId="73" xfId="0" applyFont="1" applyFill="1" applyBorder="1" applyAlignment="1">
      <alignment horizontal="center"/>
    </xf>
    <xf numFmtId="0" fontId="0" fillId="78" borderId="1" xfId="0" applyFont="1" applyFill="1" applyBorder="1" applyAlignment="1">
      <alignment horizontal="center" wrapText="1"/>
    </xf>
    <xf numFmtId="0" fontId="2" fillId="78" borderId="1" xfId="0" applyFont="1" applyFill="1" applyBorder="1" applyAlignment="1">
      <alignment horizontal="center" wrapText="1"/>
    </xf>
    <xf numFmtId="0" fontId="19" fillId="0" borderId="0" xfId="0" applyFont="1" applyAlignment="1">
      <alignment horizontal="center" wrapText="1"/>
    </xf>
    <xf numFmtId="0" fontId="13" fillId="0" borderId="37"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1" xfId="0" applyFont="1" applyBorder="1" applyAlignment="1">
      <alignment horizontal="center" vertical="center" wrapText="1"/>
    </xf>
    <xf numFmtId="0" fontId="7" fillId="4" borderId="9"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0" fillId="2" borderId="3" xfId="0" applyFill="1" applyBorder="1" applyAlignment="1">
      <alignment horizontal="center" vertical="center" wrapText="1"/>
    </xf>
    <xf numFmtId="0" fontId="0" fillId="2" borderId="1" xfId="0"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2" fillId="0" borderId="0" xfId="0" applyFont="1" applyAlignment="1">
      <alignment horizontal="center" wrapText="1"/>
    </xf>
    <xf numFmtId="0" fontId="0" fillId="0" borderId="1" xfId="0" applyFont="1" applyBorder="1" applyAlignment="1">
      <alignment horizontal="center" vertical="center" wrapText="1"/>
    </xf>
    <xf numFmtId="0" fontId="0" fillId="0" borderId="1" xfId="0" applyFont="1" applyBorder="1" applyAlignment="1">
      <alignment horizontal="center" wrapText="1"/>
    </xf>
    <xf numFmtId="0" fontId="0" fillId="2" borderId="1" xfId="0" applyFont="1" applyFill="1" applyBorder="1" applyAlignment="1">
      <alignment horizontal="center"/>
    </xf>
    <xf numFmtId="0" fontId="10" fillId="5" borderId="13"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5" fillId="0" borderId="71"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73" xfId="0" applyFont="1" applyBorder="1" applyAlignment="1">
      <alignment horizontal="center" vertical="center" wrapText="1"/>
    </xf>
    <xf numFmtId="0" fontId="7" fillId="4" borderId="23" xfId="0" applyFont="1" applyFill="1" applyBorder="1" applyAlignment="1">
      <alignment horizontal="center" vertical="center" wrapText="1"/>
    </xf>
    <xf numFmtId="0" fontId="7" fillId="4" borderId="74" xfId="0" applyFont="1" applyFill="1" applyBorder="1" applyAlignment="1">
      <alignment horizontal="center" vertical="center" wrapText="1"/>
    </xf>
    <xf numFmtId="0" fontId="97" fillId="79" borderId="17" xfId="0" applyFont="1" applyFill="1" applyBorder="1" applyAlignment="1">
      <alignment horizontal="center"/>
    </xf>
    <xf numFmtId="0" fontId="97" fillId="79" borderId="90" xfId="0" applyFont="1" applyFill="1" applyBorder="1" applyAlignment="1">
      <alignment horizontal="center"/>
    </xf>
    <xf numFmtId="0" fontId="97" fillId="79" borderId="16" xfId="0" applyFont="1" applyFill="1" applyBorder="1" applyAlignment="1">
      <alignment horizontal="center"/>
    </xf>
    <xf numFmtId="0" fontId="97" fillId="79" borderId="127" xfId="0" applyFont="1" applyFill="1" applyBorder="1" applyAlignment="1">
      <alignment horizontal="center"/>
    </xf>
    <xf numFmtId="0" fontId="97" fillId="79" borderId="126" xfId="0" applyFont="1" applyFill="1" applyBorder="1" applyAlignment="1">
      <alignment horizontal="center"/>
    </xf>
    <xf numFmtId="0" fontId="97" fillId="79" borderId="79" xfId="0" applyFont="1" applyFill="1" applyBorder="1" applyAlignment="1">
      <alignment horizontal="center"/>
    </xf>
    <xf numFmtId="0" fontId="97" fillId="79" borderId="149" xfId="0" applyFont="1" applyFill="1" applyBorder="1" applyAlignment="1">
      <alignment horizontal="center"/>
    </xf>
    <xf numFmtId="0" fontId="9" fillId="8" borderId="80" xfId="0" applyFont="1" applyFill="1" applyBorder="1" applyAlignment="1">
      <alignment horizontal="center" wrapText="1"/>
    </xf>
    <xf numFmtId="44" fontId="94" fillId="5" borderId="1" xfId="1" applyFont="1" applyFill="1" applyBorder="1" applyAlignment="1">
      <alignment horizontal="center" wrapText="1"/>
    </xf>
    <xf numFmtId="0" fontId="15" fillId="5"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2" fontId="94"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0" fillId="2" borderId="80" xfId="0" applyFont="1" applyFill="1" applyBorder="1" applyAlignment="1">
      <alignment horizontal="center"/>
    </xf>
    <xf numFmtId="0" fontId="0" fillId="2" borderId="66" xfId="0" applyFont="1" applyFill="1" applyBorder="1" applyAlignment="1">
      <alignment horizontal="center"/>
    </xf>
    <xf numFmtId="0" fontId="9" fillId="5" borderId="1" xfId="0" applyFont="1" applyFill="1" applyBorder="1" applyAlignment="1">
      <alignment horizontal="center" wrapText="1"/>
    </xf>
    <xf numFmtId="0" fontId="0" fillId="0" borderId="2" xfId="0" applyFont="1" applyBorder="1" applyAlignment="1">
      <alignment horizontal="center" vertical="center" wrapText="1"/>
    </xf>
    <xf numFmtId="0" fontId="0" fillId="0" borderId="8" xfId="0" applyFont="1" applyBorder="1" applyAlignment="1">
      <alignment horizontal="center" vertical="center" wrapText="1"/>
    </xf>
    <xf numFmtId="0" fontId="0" fillId="0" borderId="3" xfId="0" applyFont="1" applyBorder="1" applyAlignment="1">
      <alignment horizontal="center" vertical="center" wrapText="1"/>
    </xf>
    <xf numFmtId="0" fontId="0" fillId="0" borderId="2" xfId="0" applyFont="1" applyBorder="1" applyAlignment="1">
      <alignment horizontal="center" wrapText="1"/>
    </xf>
    <xf numFmtId="0" fontId="0" fillId="0" borderId="8" xfId="0" applyFont="1" applyBorder="1" applyAlignment="1">
      <alignment horizontal="center" wrapText="1"/>
    </xf>
    <xf numFmtId="0" fontId="0" fillId="0" borderId="3" xfId="0" applyFont="1" applyBorder="1" applyAlignment="1">
      <alignment horizontal="center" wrapText="1"/>
    </xf>
    <xf numFmtId="0" fontId="0" fillId="0" borderId="8" xfId="0" applyFont="1" applyBorder="1" applyAlignment="1">
      <alignment horizontal="center"/>
    </xf>
    <xf numFmtId="0" fontId="9" fillId="8" borderId="0" xfId="0" applyFont="1" applyFill="1" applyAlignment="1">
      <alignment horizontal="center" wrapText="1"/>
    </xf>
    <xf numFmtId="0" fontId="6" fillId="0" borderId="1" xfId="0" applyFont="1" applyBorder="1" applyAlignment="1">
      <alignment horizontal="center" vertical="center" wrapText="1"/>
    </xf>
    <xf numFmtId="44" fontId="94" fillId="5" borderId="1" xfId="1" applyFont="1" applyFill="1" applyBorder="1" applyAlignment="1">
      <alignment horizontal="center" vertical="center" wrapText="1"/>
    </xf>
    <xf numFmtId="0" fontId="9" fillId="5" borderId="1"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37" xfId="0" applyFill="1" applyBorder="1" applyAlignment="1">
      <alignment horizontal="center" vertical="center" wrapText="1"/>
    </xf>
    <xf numFmtId="0" fontId="5" fillId="5" borderId="1" xfId="0" applyFont="1" applyFill="1" applyBorder="1" applyAlignment="1">
      <alignment horizontal="center" vertical="center"/>
    </xf>
    <xf numFmtId="0" fontId="5" fillId="5" borderId="13" xfId="0" applyFont="1" applyFill="1" applyBorder="1" applyAlignment="1">
      <alignment horizontal="center" vertical="center"/>
    </xf>
    <xf numFmtId="0" fontId="5" fillId="5" borderId="0" xfId="0" applyFont="1" applyFill="1" applyBorder="1" applyAlignment="1">
      <alignment horizontal="center" vertical="center"/>
    </xf>
    <xf numFmtId="0" fontId="76" fillId="4" borderId="1" xfId="0" applyFont="1" applyFill="1" applyBorder="1" applyAlignment="1">
      <alignment horizontal="center" vertical="center" wrapText="1"/>
    </xf>
    <xf numFmtId="0" fontId="76" fillId="4" borderId="74" xfId="0" applyFont="1" applyFill="1" applyBorder="1" applyAlignment="1">
      <alignment horizontal="center" vertical="center" wrapText="1"/>
    </xf>
    <xf numFmtId="0" fontId="97" fillId="79" borderId="43" xfId="0" applyFont="1" applyFill="1" applyBorder="1" applyAlignment="1">
      <alignment horizontal="center"/>
    </xf>
    <xf numFmtId="0" fontId="97" fillId="79" borderId="48" xfId="0" applyFont="1" applyFill="1" applyBorder="1" applyAlignment="1">
      <alignment horizontal="center"/>
    </xf>
    <xf numFmtId="0" fontId="97" fillId="79" borderId="89" xfId="0" applyFont="1" applyFill="1" applyBorder="1" applyAlignment="1">
      <alignment horizontal="center"/>
    </xf>
    <xf numFmtId="0" fontId="5" fillId="0" borderId="71" xfId="0" applyFont="1" applyBorder="1" applyAlignment="1">
      <alignment horizontal="center" vertical="center"/>
    </xf>
    <xf numFmtId="0" fontId="5" fillId="0" borderId="72" xfId="0" applyFont="1" applyBorder="1" applyAlignment="1">
      <alignment horizontal="center" vertical="center"/>
    </xf>
    <xf numFmtId="0" fontId="5" fillId="0" borderId="73" xfId="0" applyFont="1" applyBorder="1" applyAlignment="1">
      <alignment horizontal="center" vertical="center"/>
    </xf>
    <xf numFmtId="0" fontId="76" fillId="4" borderId="23" xfId="0" applyFont="1" applyFill="1" applyBorder="1" applyAlignment="1">
      <alignment horizontal="center" vertical="center" wrapText="1"/>
    </xf>
    <xf numFmtId="0" fontId="105" fillId="2" borderId="1" xfId="0" applyFont="1" applyFill="1" applyBorder="1" applyAlignment="1">
      <alignment horizontal="center" vertical="center"/>
    </xf>
    <xf numFmtId="0" fontId="105" fillId="5" borderId="1" xfId="0" applyFont="1" applyFill="1" applyBorder="1" applyAlignment="1">
      <alignment horizontal="center" vertical="center"/>
    </xf>
    <xf numFmtId="0" fontId="105" fillId="8" borderId="1" xfId="0" applyFont="1" applyFill="1" applyBorder="1" applyAlignment="1">
      <alignment horizontal="center" vertical="center"/>
    </xf>
    <xf numFmtId="0" fontId="2" fillId="2" borderId="1" xfId="0" applyFont="1" applyFill="1" applyBorder="1" applyAlignment="1">
      <alignment horizontal="center" vertical="center"/>
    </xf>
    <xf numFmtId="0" fontId="0" fillId="2" borderId="9" xfId="0" applyFill="1" applyBorder="1" applyAlignment="1">
      <alignment horizontal="center"/>
    </xf>
    <xf numFmtId="0" fontId="0" fillId="2" borderId="7" xfId="0" applyFill="1" applyBorder="1" applyAlignment="1">
      <alignment horizontal="center"/>
    </xf>
    <xf numFmtId="0" fontId="109" fillId="4" borderId="4" xfId="0" applyFont="1" applyFill="1" applyBorder="1" applyAlignment="1">
      <alignment horizontal="center" vertical="center" wrapText="1"/>
    </xf>
    <xf numFmtId="0" fontId="109" fillId="4" borderId="5" xfId="0" applyFont="1" applyFill="1" applyBorder="1" applyAlignment="1">
      <alignment horizontal="center" vertical="center" wrapText="1"/>
    </xf>
    <xf numFmtId="0" fontId="109" fillId="4" borderId="6" xfId="0" applyFont="1" applyFill="1" applyBorder="1" applyAlignment="1">
      <alignment horizontal="center" vertical="center" wrapText="1"/>
    </xf>
    <xf numFmtId="0" fontId="4" fillId="0" borderId="1" xfId="0" applyFont="1" applyBorder="1" applyAlignment="1">
      <alignment horizontal="center" vertical="center" wrapText="1"/>
    </xf>
    <xf numFmtId="0" fontId="0" fillId="0" borderId="1" xfId="0" applyFont="1" applyFill="1" applyBorder="1" applyAlignment="1">
      <alignment horizontal="center" wrapText="1"/>
    </xf>
    <xf numFmtId="0" fontId="67" fillId="2" borderId="1" xfId="0" applyFont="1" applyFill="1" applyBorder="1" applyAlignment="1">
      <alignment horizontal="center"/>
    </xf>
    <xf numFmtId="0" fontId="4" fillId="2" borderId="1" xfId="0" applyFont="1" applyFill="1" applyBorder="1" applyAlignment="1">
      <alignment horizontal="center" vertical="center" wrapText="1"/>
    </xf>
    <xf numFmtId="0" fontId="0" fillId="2" borderId="1" xfId="0" applyFont="1" applyFill="1" applyBorder="1" applyAlignment="1">
      <alignment horizontal="center" wrapText="1"/>
    </xf>
    <xf numFmtId="0" fontId="0" fillId="2" borderId="4" xfId="0" applyFont="1" applyFill="1" applyBorder="1" applyAlignment="1">
      <alignment horizontal="center"/>
    </xf>
    <xf numFmtId="0" fontId="0" fillId="0" borderId="1" xfId="0" applyFont="1" applyFill="1" applyBorder="1" applyAlignment="1">
      <alignment horizontal="center" vertical="center" wrapText="1"/>
    </xf>
    <xf numFmtId="0" fontId="4" fillId="0" borderId="23" xfId="0" applyFont="1" applyBorder="1" applyAlignment="1">
      <alignment horizontal="center" vertical="center" wrapText="1"/>
    </xf>
    <xf numFmtId="0" fontId="4" fillId="0" borderId="75" xfId="0" applyFont="1" applyBorder="1" applyAlignment="1">
      <alignment horizontal="center" vertical="center" wrapText="1"/>
    </xf>
    <xf numFmtId="0" fontId="0" fillId="79" borderId="23" xfId="0" applyFill="1" applyBorder="1" applyAlignment="1">
      <alignment horizontal="center" vertical="center" wrapText="1"/>
    </xf>
    <xf numFmtId="0" fontId="0" fillId="79" borderId="1" xfId="0" applyFill="1" applyBorder="1" applyAlignment="1">
      <alignment horizontal="center" vertical="center" wrapText="1"/>
    </xf>
    <xf numFmtId="0" fontId="77" fillId="2" borderId="1" xfId="0" applyFont="1" applyFill="1" applyBorder="1" applyAlignment="1">
      <alignment horizontal="center"/>
    </xf>
    <xf numFmtId="0" fontId="9" fillId="2" borderId="1" xfId="0" applyFont="1" applyFill="1" applyBorder="1" applyAlignment="1">
      <alignment horizontal="center"/>
    </xf>
    <xf numFmtId="0" fontId="0" fillId="2" borderId="37" xfId="0" applyFill="1" applyBorder="1" applyAlignment="1">
      <alignment horizontal="center" wrapText="1"/>
    </xf>
    <xf numFmtId="0" fontId="0" fillId="2" borderId="34" xfId="0" applyFill="1" applyBorder="1" applyAlignment="1">
      <alignment horizontal="center" wrapText="1"/>
    </xf>
    <xf numFmtId="0" fontId="0" fillId="2" borderId="36" xfId="0" applyFill="1" applyBorder="1" applyAlignment="1">
      <alignment horizontal="center" wrapText="1"/>
    </xf>
    <xf numFmtId="0" fontId="0" fillId="0" borderId="7" xfId="0" applyBorder="1" applyAlignment="1">
      <alignment horizontal="center"/>
    </xf>
    <xf numFmtId="0" fontId="0" fillId="2" borderId="32" xfId="0" applyFill="1" applyBorder="1" applyAlignment="1">
      <alignment vertical="center" wrapText="1"/>
    </xf>
    <xf numFmtId="169" fontId="0" fillId="0" borderId="33" xfId="0" applyNumberFormat="1" applyBorder="1" applyAlignment="1">
      <alignment horizontal="left" vertical="center"/>
    </xf>
    <xf numFmtId="169" fontId="0" fillId="0" borderId="3" xfId="0" applyNumberFormat="1" applyBorder="1" applyAlignment="1">
      <alignment horizontal="left" vertical="center"/>
    </xf>
    <xf numFmtId="169" fontId="0" fillId="0" borderId="35" xfId="0" applyNumberFormat="1" applyBorder="1" applyAlignment="1">
      <alignment horizontal="left" vertical="center"/>
    </xf>
    <xf numFmtId="169" fontId="0" fillId="0" borderId="9" xfId="0" applyNumberFormat="1" applyBorder="1" applyAlignment="1">
      <alignment horizontal="left" vertical="center"/>
    </xf>
    <xf numFmtId="0" fontId="81" fillId="6" borderId="9" xfId="0" applyFont="1" applyFill="1" applyBorder="1" applyAlignment="1">
      <alignment horizontal="center"/>
    </xf>
    <xf numFmtId="0" fontId="0" fillId="0" borderId="86" xfId="0" applyFont="1" applyBorder="1" applyAlignment="1">
      <alignment horizontal="center"/>
    </xf>
    <xf numFmtId="0" fontId="0" fillId="0" borderId="111" xfId="0" applyFont="1" applyBorder="1" applyAlignment="1">
      <alignment horizontal="left" vertical="center"/>
    </xf>
    <xf numFmtId="0" fontId="0" fillId="0" borderId="36" xfId="0" applyFont="1" applyBorder="1" applyAlignment="1">
      <alignment horizontal="left" vertical="center"/>
    </xf>
    <xf numFmtId="165" fontId="0" fillId="0" borderId="1" xfId="0" applyNumberFormat="1" applyBorder="1" applyAlignment="1">
      <alignment horizontal="left" vertical="center"/>
    </xf>
    <xf numFmtId="0" fontId="0" fillId="0" borderId="48" xfId="0" applyFill="1" applyBorder="1" applyAlignment="1">
      <alignment horizontal="center" vertical="center"/>
    </xf>
    <xf numFmtId="0" fontId="0" fillId="0" borderId="8" xfId="0" applyFill="1" applyBorder="1" applyAlignment="1">
      <alignment horizontal="center" vertical="center"/>
    </xf>
    <xf numFmtId="0" fontId="0" fillId="0" borderId="94" xfId="0" applyFill="1" applyBorder="1" applyAlignment="1">
      <alignment horizontal="center" vertical="center"/>
    </xf>
    <xf numFmtId="0" fontId="0" fillId="0" borderId="104" xfId="0" applyFont="1" applyFill="1" applyBorder="1" applyAlignment="1">
      <alignment horizontal="center" vertical="center" wrapText="1"/>
    </xf>
    <xf numFmtId="0" fontId="0" fillId="0" borderId="118" xfId="0" applyFont="1" applyFill="1" applyBorder="1" applyAlignment="1">
      <alignment horizontal="center" vertical="center" wrapText="1"/>
    </xf>
    <xf numFmtId="0" fontId="0" fillId="0" borderId="105" xfId="0" applyFont="1" applyFill="1" applyBorder="1" applyAlignment="1">
      <alignment horizontal="center" vertical="center" wrapText="1"/>
    </xf>
    <xf numFmtId="0" fontId="0" fillId="0" borderId="111" xfId="0" applyFont="1" applyBorder="1" applyAlignment="1">
      <alignment vertical="center"/>
    </xf>
    <xf numFmtId="2" fontId="0" fillId="0" borderId="1" xfId="0" applyNumberFormat="1" applyFont="1" applyBorder="1" applyAlignment="1">
      <alignment horizontal="left" vertical="center"/>
    </xf>
    <xf numFmtId="2" fontId="0" fillId="0" borderId="1" xfId="0" applyNumberFormat="1" applyBorder="1" applyAlignment="1">
      <alignment horizontal="left" vertical="center"/>
    </xf>
    <xf numFmtId="165" fontId="0" fillId="0" borderId="1" xfId="0" applyNumberFormat="1" applyFont="1" applyBorder="1" applyAlignment="1">
      <alignment horizontal="left" vertical="center"/>
    </xf>
    <xf numFmtId="0" fontId="0" fillId="0" borderId="119" xfId="0" applyFont="1" applyBorder="1" applyAlignment="1">
      <alignment vertical="center"/>
    </xf>
    <xf numFmtId="0" fontId="0" fillId="0" borderId="66" xfId="0" applyFont="1" applyBorder="1" applyAlignment="1">
      <alignment horizontal="left" vertical="center"/>
    </xf>
    <xf numFmtId="2" fontId="0" fillId="0" borderId="33" xfId="0" applyNumberFormat="1" applyBorder="1" applyAlignment="1">
      <alignment horizontal="left" vertical="center"/>
    </xf>
    <xf numFmtId="165" fontId="0" fillId="0" borderId="33" xfId="0" applyNumberFormat="1" applyFont="1" applyBorder="1" applyAlignment="1">
      <alignment horizontal="left" vertical="center"/>
    </xf>
    <xf numFmtId="0" fontId="100" fillId="14" borderId="59" xfId="0" applyFont="1" applyFill="1" applyBorder="1" applyAlignment="1">
      <alignment horizontal="left" vertical="center" wrapText="1"/>
    </xf>
    <xf numFmtId="0" fontId="100" fillId="14" borderId="19" xfId="0" applyFont="1" applyFill="1" applyBorder="1" applyAlignment="1">
      <alignment horizontal="left" vertical="center" wrapText="1"/>
    </xf>
    <xf numFmtId="0" fontId="100" fillId="14" borderId="20" xfId="0" applyFont="1" applyFill="1" applyBorder="1" applyAlignment="1">
      <alignment horizontal="left" vertical="center" wrapText="1"/>
    </xf>
    <xf numFmtId="0" fontId="0" fillId="0" borderId="48"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81" fillId="6" borderId="78" xfId="0" applyFont="1" applyFill="1" applyBorder="1" applyAlignment="1">
      <alignment horizontal="center"/>
    </xf>
    <xf numFmtId="0" fontId="81" fillId="6" borderId="90" xfId="0" applyFont="1" applyFill="1" applyBorder="1" applyAlignment="1">
      <alignment horizontal="center"/>
    </xf>
    <xf numFmtId="0" fontId="0" fillId="0" borderId="110" xfId="0" applyFont="1" applyBorder="1" applyAlignment="1">
      <alignment vertical="center"/>
    </xf>
    <xf numFmtId="0" fontId="0" fillId="0" borderId="11" xfId="0" applyFont="1" applyBorder="1" applyAlignment="1">
      <alignment horizontal="left" vertical="center"/>
    </xf>
    <xf numFmtId="2" fontId="0" fillId="0" borderId="3" xfId="0" applyNumberFormat="1" applyFont="1" applyBorder="1" applyAlignment="1">
      <alignment horizontal="left" vertical="center"/>
    </xf>
    <xf numFmtId="165" fontId="0" fillId="0" borderId="3" xfId="0" applyNumberFormat="1" applyFont="1" applyBorder="1" applyAlignment="1">
      <alignment horizontal="left" vertical="center"/>
    </xf>
    <xf numFmtId="0" fontId="0" fillId="0" borderId="1" xfId="0" applyFont="1" applyBorder="1" applyAlignment="1">
      <alignment horizontal="center" vertical="center"/>
    </xf>
    <xf numFmtId="0" fontId="0" fillId="0" borderId="66" xfId="0" applyFont="1" applyFill="1" applyBorder="1" applyAlignment="1">
      <alignment horizontal="left" vertical="center"/>
    </xf>
    <xf numFmtId="0" fontId="0" fillId="0" borderId="11" xfId="0" applyFont="1" applyFill="1" applyBorder="1" applyAlignment="1">
      <alignment horizontal="left" vertical="center"/>
    </xf>
    <xf numFmtId="165" fontId="0" fillId="0" borderId="33" xfId="0" applyNumberFormat="1" applyFont="1" applyFill="1" applyBorder="1" applyAlignment="1">
      <alignment horizontal="left" vertical="center"/>
    </xf>
    <xf numFmtId="165" fontId="0" fillId="0" borderId="3" xfId="0" applyNumberFormat="1" applyFont="1" applyFill="1" applyBorder="1" applyAlignment="1">
      <alignment horizontal="left" vertical="center"/>
    </xf>
    <xf numFmtId="0" fontId="0" fillId="0" borderId="113" xfId="0" applyFont="1" applyBorder="1" applyAlignment="1">
      <alignment horizontal="center" vertical="center" wrapText="1"/>
    </xf>
    <xf numFmtId="0" fontId="0" fillId="0" borderId="118" xfId="0" applyFont="1" applyBorder="1" applyAlignment="1">
      <alignment horizontal="center" vertical="center" wrapText="1"/>
    </xf>
    <xf numFmtId="0" fontId="0" fillId="0" borderId="110" xfId="0" applyFont="1" applyBorder="1" applyAlignment="1">
      <alignment horizontal="center" vertical="center" wrapText="1"/>
    </xf>
    <xf numFmtId="0" fontId="100" fillId="14" borderId="35" xfId="0" applyFont="1" applyFill="1" applyBorder="1" applyAlignment="1">
      <alignment horizontal="left" vertical="center" wrapText="1"/>
    </xf>
    <xf numFmtId="0" fontId="100" fillId="14" borderId="13" xfId="0" applyFont="1" applyFill="1" applyBorder="1" applyAlignment="1">
      <alignment horizontal="left" vertical="center" wrapText="1"/>
    </xf>
    <xf numFmtId="0" fontId="0" fillId="0" borderId="48"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111" xfId="0" applyFont="1" applyFill="1" applyBorder="1" applyAlignment="1">
      <alignment horizontal="left" vertical="center"/>
    </xf>
    <xf numFmtId="0" fontId="0" fillId="0" borderId="12" xfId="0" applyFont="1" applyFill="1" applyBorder="1" applyAlignment="1">
      <alignment horizontal="left" vertical="center"/>
    </xf>
    <xf numFmtId="165" fontId="0" fillId="0" borderId="1" xfId="0" applyNumberFormat="1" applyFont="1" applyFill="1" applyBorder="1" applyAlignment="1">
      <alignment horizontal="left" vertical="center"/>
    </xf>
    <xf numFmtId="0" fontId="0" fillId="0" borderId="12" xfId="0" applyFont="1" applyBorder="1" applyAlignment="1">
      <alignment horizontal="left" vertical="center"/>
    </xf>
    <xf numFmtId="0" fontId="81" fillId="6" borderId="11" xfId="0" applyFont="1" applyFill="1" applyBorder="1" applyAlignment="1">
      <alignment horizontal="center"/>
    </xf>
    <xf numFmtId="169" fontId="0" fillId="6" borderId="48" xfId="1" applyNumberFormat="1" applyFont="1" applyFill="1" applyBorder="1" applyAlignment="1">
      <alignment horizontal="left" vertical="center"/>
    </xf>
    <xf numFmtId="169" fontId="0" fillId="6" borderId="8" xfId="1" applyNumberFormat="1" applyFont="1" applyFill="1" applyBorder="1" applyAlignment="1">
      <alignment horizontal="left" vertical="center"/>
    </xf>
    <xf numFmtId="169" fontId="0" fillId="6" borderId="3" xfId="1" applyNumberFormat="1" applyFont="1" applyFill="1" applyBorder="1" applyAlignment="1">
      <alignment horizontal="left" vertical="center"/>
    </xf>
    <xf numFmtId="0" fontId="0" fillId="0" borderId="113" xfId="0" applyFont="1" applyBorder="1" applyAlignment="1">
      <alignment horizontal="center" vertical="center"/>
    </xf>
    <xf numFmtId="0" fontId="0" fillId="0" borderId="118" xfId="0" applyFont="1" applyBorder="1" applyAlignment="1">
      <alignment horizontal="center" vertical="center"/>
    </xf>
    <xf numFmtId="0" fontId="0" fillId="0" borderId="110" xfId="0" applyFont="1" applyBorder="1" applyAlignment="1">
      <alignment horizontal="center" vertical="center"/>
    </xf>
    <xf numFmtId="0" fontId="0" fillId="0" borderId="66" xfId="0" applyFont="1" applyBorder="1" applyAlignment="1">
      <alignment horizontal="center" vertical="center"/>
    </xf>
    <xf numFmtId="0" fontId="0" fillId="0" borderId="12" xfId="0" applyFont="1" applyBorder="1" applyAlignment="1">
      <alignment horizontal="center" vertical="center"/>
    </xf>
    <xf numFmtId="0" fontId="0" fillId="0" borderId="11" xfId="0" applyFont="1" applyBorder="1" applyAlignment="1">
      <alignment horizontal="center" vertical="center"/>
    </xf>
    <xf numFmtId="165" fontId="0" fillId="0" borderId="8" xfId="0" applyNumberFormat="1" applyFont="1" applyBorder="1" applyAlignment="1">
      <alignment horizontal="left" vertical="center"/>
    </xf>
    <xf numFmtId="0" fontId="81" fillId="6" borderId="36" xfId="0" applyFont="1" applyFill="1" applyBorder="1" applyAlignment="1">
      <alignment horizontal="center"/>
    </xf>
    <xf numFmtId="0" fontId="0" fillId="0" borderId="105" xfId="0" applyFont="1" applyBorder="1" applyAlignment="1">
      <alignment horizontal="center" vertical="center" wrapText="1"/>
    </xf>
    <xf numFmtId="0" fontId="0" fillId="0" borderId="48" xfId="0" applyFont="1" applyBorder="1" applyAlignment="1">
      <alignment horizontal="center" vertical="center"/>
    </xf>
    <xf numFmtId="0" fontId="0" fillId="0" borderId="8" xfId="0" applyFont="1" applyBorder="1" applyAlignment="1">
      <alignment horizontal="center" vertical="center"/>
    </xf>
    <xf numFmtId="0" fontId="0" fillId="0" borderId="3" xfId="0" applyFont="1" applyBorder="1" applyAlignment="1">
      <alignment horizontal="center" vertical="center"/>
    </xf>
    <xf numFmtId="0" fontId="0" fillId="0" borderId="113" xfId="0" applyFont="1" applyBorder="1" applyAlignment="1">
      <alignment vertical="center"/>
    </xf>
    <xf numFmtId="0" fontId="100" fillId="14" borderId="18" xfId="0" applyFont="1" applyFill="1" applyBorder="1" applyAlignment="1">
      <alignment horizontal="left" vertical="center" wrapText="1"/>
    </xf>
    <xf numFmtId="0" fontId="100" fillId="14" borderId="0" xfId="0" applyFont="1" applyFill="1" applyBorder="1" applyAlignment="1">
      <alignment horizontal="left" vertical="center" wrapText="1"/>
    </xf>
    <xf numFmtId="0" fontId="0" fillId="0" borderId="94" xfId="0" applyFont="1" applyBorder="1" applyAlignment="1">
      <alignment horizontal="center" vertical="center"/>
    </xf>
    <xf numFmtId="169" fontId="0" fillId="0" borderId="1" xfId="0" applyNumberFormat="1" applyFont="1" applyFill="1" applyBorder="1" applyAlignment="1">
      <alignment horizontal="left" vertical="center"/>
    </xf>
    <xf numFmtId="0" fontId="0" fillId="0" borderId="113" xfId="0" applyFont="1" applyFill="1" applyBorder="1" applyAlignment="1">
      <alignment horizontal="center" vertical="center" wrapText="1"/>
    </xf>
    <xf numFmtId="166" fontId="0" fillId="0" borderId="1" xfId="0" applyNumberFormat="1" applyFont="1" applyBorder="1" applyAlignment="1">
      <alignment horizontal="left" vertical="center"/>
    </xf>
    <xf numFmtId="166" fontId="0" fillId="0" borderId="37" xfId="0" applyNumberFormat="1" applyFont="1" applyBorder="1" applyAlignment="1">
      <alignment horizontal="left" vertical="center"/>
    </xf>
    <xf numFmtId="166" fontId="0" fillId="0" borderId="33" xfId="0" applyNumberFormat="1" applyFont="1" applyBorder="1" applyAlignment="1">
      <alignment horizontal="left" vertical="center"/>
    </xf>
    <xf numFmtId="166" fontId="0" fillId="0" borderId="35" xfId="0" applyNumberFormat="1" applyFont="1" applyBorder="1" applyAlignment="1">
      <alignment horizontal="left" vertical="center"/>
    </xf>
    <xf numFmtId="0" fontId="0" fillId="0" borderId="36" xfId="0" applyFont="1" applyBorder="1" applyAlignment="1">
      <alignment horizontal="center" vertical="center"/>
    </xf>
    <xf numFmtId="165" fontId="0" fillId="0" borderId="37" xfId="0" applyNumberFormat="1" applyFont="1" applyBorder="1" applyAlignment="1">
      <alignment horizontal="left" vertical="center"/>
    </xf>
    <xf numFmtId="166" fontId="0" fillId="0" borderId="78" xfId="0" applyNumberFormat="1" applyFont="1" applyBorder="1" applyAlignment="1">
      <alignment horizontal="left" vertical="center"/>
    </xf>
    <xf numFmtId="0" fontId="0" fillId="0" borderId="113" xfId="0" applyFont="1" applyBorder="1" applyAlignment="1">
      <alignment horizontal="left" vertical="center"/>
    </xf>
    <xf numFmtId="0" fontId="0" fillId="0" borderId="118" xfId="0" applyFont="1" applyBorder="1" applyAlignment="1">
      <alignment horizontal="left" vertical="center"/>
    </xf>
    <xf numFmtId="0" fontId="0" fillId="0" borderId="110" xfId="0" applyFont="1" applyBorder="1" applyAlignment="1">
      <alignment horizontal="left" vertical="center"/>
    </xf>
    <xf numFmtId="0" fontId="0" fillId="0" borderId="23" xfId="0" applyFont="1" applyBorder="1" applyAlignment="1">
      <alignment horizontal="center" vertical="center"/>
    </xf>
    <xf numFmtId="0" fontId="0" fillId="0" borderId="81" xfId="0" applyFont="1" applyBorder="1" applyAlignment="1">
      <alignment horizontal="center" vertical="center"/>
    </xf>
    <xf numFmtId="0" fontId="0" fillId="5" borderId="48" xfId="0" applyFont="1" applyFill="1" applyBorder="1" applyAlignment="1">
      <alignment horizontal="left" vertical="center"/>
    </xf>
    <xf numFmtId="0" fontId="0" fillId="5" borderId="3" xfId="0" applyFont="1" applyFill="1" applyBorder="1" applyAlignment="1">
      <alignment horizontal="left" vertical="center"/>
    </xf>
    <xf numFmtId="0" fontId="0" fillId="5" borderId="44" xfId="0" applyFont="1" applyFill="1" applyBorder="1" applyAlignment="1">
      <alignment horizontal="left" vertical="center"/>
    </xf>
    <xf numFmtId="0" fontId="0" fillId="5" borderId="9" xfId="0" applyFont="1" applyFill="1" applyBorder="1" applyAlignment="1">
      <alignment horizontal="left" vertical="center"/>
    </xf>
    <xf numFmtId="0" fontId="0" fillId="0" borderId="87" xfId="0" applyFont="1" applyBorder="1" applyAlignment="1">
      <alignment horizontal="center" vertical="center"/>
    </xf>
    <xf numFmtId="0" fontId="0" fillId="0" borderId="83" xfId="0" applyFont="1" applyBorder="1" applyAlignment="1">
      <alignment horizontal="center" vertical="center"/>
    </xf>
    <xf numFmtId="0" fontId="100" fillId="14" borderId="114" xfId="0" applyFont="1" applyFill="1" applyBorder="1" applyAlignment="1">
      <alignment horizontal="left" vertical="center" wrapText="1"/>
    </xf>
    <xf numFmtId="0" fontId="100" fillId="14" borderId="80" xfId="0" applyFont="1" applyFill="1" applyBorder="1" applyAlignment="1">
      <alignment horizontal="left" vertical="center" wrapText="1"/>
    </xf>
    <xf numFmtId="0" fontId="0" fillId="0" borderId="23" xfId="0" applyFont="1" applyBorder="1" applyAlignment="1">
      <alignment horizontal="left" vertical="center"/>
    </xf>
    <xf numFmtId="0" fontId="0" fillId="0" borderId="48"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3" xfId="0" applyFont="1" applyFill="1" applyBorder="1" applyAlignment="1">
      <alignment horizontal="center" vertical="center" wrapText="1"/>
    </xf>
    <xf numFmtId="166" fontId="0" fillId="0" borderId="3" xfId="0" applyNumberFormat="1" applyBorder="1" applyAlignment="1">
      <alignment horizontal="left" vertical="center"/>
    </xf>
    <xf numFmtId="166" fontId="0" fillId="0" borderId="1" xfId="0" applyNumberFormat="1" applyBorder="1" applyAlignment="1">
      <alignment horizontal="left" vertical="center"/>
    </xf>
    <xf numFmtId="166" fontId="0" fillId="0" borderId="13" xfId="0" applyNumberFormat="1" applyFont="1" applyBorder="1" applyAlignment="1">
      <alignment horizontal="left" vertical="center"/>
    </xf>
    <xf numFmtId="166" fontId="0" fillId="0" borderId="9" xfId="0" applyNumberFormat="1" applyFont="1" applyBorder="1" applyAlignment="1">
      <alignment horizontal="left" vertical="center"/>
    </xf>
    <xf numFmtId="0" fontId="0" fillId="0" borderId="105" xfId="0" applyFont="1" applyBorder="1" applyAlignment="1">
      <alignment vertical="center"/>
    </xf>
    <xf numFmtId="0" fontId="0" fillId="0" borderId="123" xfId="0" applyFont="1" applyBorder="1" applyAlignment="1">
      <alignment horizontal="left" vertical="center"/>
    </xf>
    <xf numFmtId="0" fontId="0" fillId="0" borderId="137" xfId="0" applyFont="1" applyBorder="1" applyAlignment="1">
      <alignment horizontal="left" vertical="center"/>
    </xf>
    <xf numFmtId="0" fontId="100" fillId="14" borderId="89" xfId="0" applyFont="1" applyFill="1" applyBorder="1" applyAlignment="1">
      <alignment horizontal="left" vertical="center" wrapText="1"/>
    </xf>
    <xf numFmtId="0" fontId="100" fillId="14" borderId="88" xfId="0" applyFont="1" applyFill="1" applyBorder="1" applyAlignment="1">
      <alignment horizontal="left" vertical="center" wrapText="1"/>
    </xf>
    <xf numFmtId="0" fontId="100" fillId="14" borderId="136" xfId="0" applyFont="1" applyFill="1" applyBorder="1" applyAlignment="1">
      <alignment horizontal="left" vertical="center" wrapText="1"/>
    </xf>
    <xf numFmtId="0" fontId="81" fillId="6" borderId="16" xfId="0" applyFont="1" applyFill="1" applyBorder="1" applyAlignment="1">
      <alignment horizontal="center"/>
    </xf>
    <xf numFmtId="0" fontId="0" fillId="0" borderId="125" xfId="0" applyFont="1" applyBorder="1" applyAlignment="1">
      <alignment horizontal="left" vertical="center"/>
    </xf>
    <xf numFmtId="0" fontId="0" fillId="0" borderId="124" xfId="0" applyFont="1" applyBorder="1" applyAlignment="1">
      <alignment horizontal="left" vertical="center"/>
    </xf>
    <xf numFmtId="165" fontId="0" fillId="0" borderId="34" xfId="0" applyNumberFormat="1" applyFont="1" applyBorder="1" applyAlignment="1">
      <alignment horizontal="left" vertical="center"/>
    </xf>
    <xf numFmtId="165" fontId="0" fillId="0" borderId="126" xfId="0" applyNumberFormat="1" applyFont="1" applyBorder="1" applyAlignment="1">
      <alignment horizontal="left" vertical="center"/>
    </xf>
    <xf numFmtId="0" fontId="0" fillId="0" borderId="83" xfId="0" applyFont="1" applyBorder="1" applyAlignment="1">
      <alignment horizontal="left" vertical="center"/>
    </xf>
    <xf numFmtId="0" fontId="0" fillId="0" borderId="48" xfId="0" applyFill="1" applyBorder="1" applyAlignment="1">
      <alignment horizontal="center" vertical="center" wrapText="1"/>
    </xf>
    <xf numFmtId="0" fontId="0" fillId="0" borderId="8" xfId="0" applyFill="1" applyBorder="1" applyAlignment="1">
      <alignment horizontal="center" vertical="center" wrapText="1"/>
    </xf>
    <xf numFmtId="0" fontId="0" fillId="0" borderId="3" xfId="0" applyFill="1" applyBorder="1" applyAlignment="1">
      <alignment horizontal="center" vertical="center" wrapText="1"/>
    </xf>
    <xf numFmtId="0" fontId="0" fillId="0" borderId="33" xfId="0" applyBorder="1" applyAlignment="1">
      <alignment horizontal="center" vertical="center"/>
    </xf>
    <xf numFmtId="0" fontId="81" fillId="6" borderId="72" xfId="0" applyFont="1" applyFill="1" applyBorder="1" applyAlignment="1">
      <alignment horizontal="center"/>
    </xf>
    <xf numFmtId="0" fontId="0" fillId="0" borderId="73" xfId="0" applyFont="1" applyBorder="1" applyAlignment="1">
      <alignment horizontal="center"/>
    </xf>
    <xf numFmtId="165" fontId="0" fillId="80" borderId="1" xfId="0" applyNumberFormat="1" applyFont="1" applyFill="1" applyBorder="1" applyAlignment="1" applyProtection="1">
      <alignment horizontal="left" vertical="center"/>
    </xf>
    <xf numFmtId="169" fontId="0" fillId="0" borderId="33" xfId="0" applyNumberFormat="1" applyFont="1" applyBorder="1" applyAlignment="1">
      <alignment horizontal="left" vertical="center"/>
    </xf>
    <xf numFmtId="169" fontId="0" fillId="0" borderId="3" xfId="0" applyNumberFormat="1" applyFont="1" applyBorder="1" applyAlignment="1">
      <alignment horizontal="left" vertical="center"/>
    </xf>
    <xf numFmtId="169" fontId="0" fillId="0" borderId="35" xfId="0" applyNumberFormat="1" applyFont="1" applyBorder="1" applyAlignment="1">
      <alignment horizontal="left" vertical="center"/>
    </xf>
    <xf numFmtId="169" fontId="0" fillId="0" borderId="9" xfId="0" applyNumberFormat="1" applyFont="1" applyBorder="1" applyAlignment="1">
      <alignment horizontal="left" vertical="center"/>
    </xf>
    <xf numFmtId="0" fontId="0" fillId="0" borderId="33" xfId="0" applyFont="1" applyFill="1" applyBorder="1" applyAlignment="1">
      <alignment horizontal="center" vertical="center" wrapText="1"/>
    </xf>
    <xf numFmtId="0" fontId="0" fillId="5" borderId="36" xfId="0" applyFont="1" applyFill="1" applyBorder="1" applyAlignment="1">
      <alignment horizontal="left" vertical="center"/>
    </xf>
    <xf numFmtId="0" fontId="0" fillId="5" borderId="37" xfId="0" applyFont="1" applyFill="1" applyBorder="1" applyAlignment="1">
      <alignment horizontal="left" vertical="center"/>
    </xf>
    <xf numFmtId="0" fontId="0" fillId="5" borderId="23" xfId="0" applyFont="1" applyFill="1" applyBorder="1" applyAlignment="1">
      <alignment horizontal="left" vertical="center"/>
    </xf>
    <xf numFmtId="165" fontId="0" fillId="0" borderId="1" xfId="0" applyNumberFormat="1" applyFont="1" applyBorder="1" applyAlignment="1">
      <alignment horizontal="left" vertical="center" wrapText="1"/>
    </xf>
    <xf numFmtId="0" fontId="64" fillId="0" borderId="23" xfId="0" applyFont="1" applyBorder="1" applyAlignment="1">
      <alignment horizontal="left" vertical="center"/>
    </xf>
    <xf numFmtId="169" fontId="0" fillId="0" borderId="37" xfId="0" applyNumberFormat="1" applyFont="1" applyBorder="1" applyAlignment="1">
      <alignment horizontal="left" vertical="center"/>
    </xf>
    <xf numFmtId="0" fontId="100" fillId="14" borderId="9" xfId="0" applyFont="1" applyFill="1" applyBorder="1" applyAlignment="1">
      <alignment horizontal="left" vertical="center" wrapText="1"/>
    </xf>
    <xf numFmtId="0" fontId="100" fillId="14" borderId="37" xfId="0" applyFont="1" applyFill="1" applyBorder="1" applyAlignment="1">
      <alignment horizontal="left" vertical="center"/>
    </xf>
    <xf numFmtId="0" fontId="0" fillId="5" borderId="83" xfId="0" applyFont="1" applyFill="1" applyBorder="1" applyAlignment="1">
      <alignment horizontal="left" vertical="center"/>
    </xf>
    <xf numFmtId="0" fontId="0" fillId="0" borderId="72" xfId="0" applyBorder="1" applyAlignment="1">
      <alignment horizontal="center" vertical="center"/>
    </xf>
    <xf numFmtId="0" fontId="81" fillId="0" borderId="72" xfId="0" applyFont="1" applyFill="1" applyBorder="1" applyAlignment="1">
      <alignment horizontal="center"/>
    </xf>
    <xf numFmtId="0" fontId="0" fillId="0" borderId="73" xfId="0" applyFont="1" applyFill="1" applyBorder="1" applyAlignment="1">
      <alignment horizontal="center"/>
    </xf>
    <xf numFmtId="0" fontId="0" fillId="0" borderId="119" xfId="0" applyFont="1" applyBorder="1" applyAlignment="1">
      <alignment horizontal="left" vertical="center"/>
    </xf>
    <xf numFmtId="0" fontId="0" fillId="0" borderId="106" xfId="0" applyFont="1" applyBorder="1" applyAlignment="1">
      <alignment horizontal="left" vertical="center"/>
    </xf>
    <xf numFmtId="165" fontId="0" fillId="0" borderId="76" xfId="0" applyNumberFormat="1" applyFont="1" applyBorder="1" applyAlignment="1">
      <alignment horizontal="left" vertical="center"/>
    </xf>
    <xf numFmtId="0" fontId="0" fillId="5" borderId="35" xfId="0" applyFont="1" applyFill="1" applyBorder="1" applyAlignment="1">
      <alignment horizontal="left" vertical="center"/>
    </xf>
    <xf numFmtId="0" fontId="0" fillId="5" borderId="81" xfId="0" applyFont="1" applyFill="1" applyBorder="1" applyAlignment="1">
      <alignment horizontal="left" vertical="center"/>
    </xf>
    <xf numFmtId="0" fontId="64" fillId="0" borderId="81" xfId="0" applyFont="1" applyBorder="1" applyAlignment="1">
      <alignment horizontal="left" vertical="center"/>
    </xf>
    <xf numFmtId="0" fontId="81" fillId="0" borderId="3" xfId="0" applyFont="1" applyFill="1" applyBorder="1" applyAlignment="1">
      <alignment horizontal="center"/>
    </xf>
    <xf numFmtId="0" fontId="0" fillId="0" borderId="84" xfId="0" applyFont="1" applyFill="1" applyBorder="1" applyAlignment="1">
      <alignment horizontal="center"/>
    </xf>
    <xf numFmtId="169" fontId="0" fillId="0" borderId="13" xfId="0" applyNumberFormat="1" applyFont="1" applyBorder="1" applyAlignment="1">
      <alignment horizontal="left" vertical="center"/>
    </xf>
    <xf numFmtId="169" fontId="0" fillId="0" borderId="1" xfId="0" applyNumberFormat="1" applyFont="1" applyBorder="1" applyAlignment="1">
      <alignment horizontal="left" vertical="center"/>
    </xf>
    <xf numFmtId="0" fontId="81" fillId="6" borderId="3" xfId="0" applyFont="1" applyFill="1" applyBorder="1" applyAlignment="1">
      <alignment horizontal="center"/>
    </xf>
    <xf numFmtId="0" fontId="0" fillId="0" borderId="84" xfId="0" applyFont="1" applyBorder="1" applyAlignment="1">
      <alignment horizontal="center"/>
    </xf>
    <xf numFmtId="0" fontId="2" fillId="5" borderId="8" xfId="0" applyFont="1" applyFill="1" applyBorder="1" applyAlignment="1">
      <alignment horizontal="left" vertical="center"/>
    </xf>
    <xf numFmtId="0" fontId="2" fillId="5" borderId="94" xfId="0" applyFont="1" applyFill="1" applyBorder="1" applyAlignment="1">
      <alignment horizontal="left" vertical="center"/>
    </xf>
    <xf numFmtId="0" fontId="2" fillId="5" borderId="13" xfId="0" applyFont="1" applyFill="1" applyBorder="1" applyAlignment="1">
      <alignment horizontal="left" vertical="center" wrapText="1"/>
    </xf>
    <xf numFmtId="0" fontId="2" fillId="5" borderId="107" xfId="0" applyFont="1" applyFill="1" applyBorder="1" applyAlignment="1">
      <alignment horizontal="left" vertical="center" wrapText="1"/>
    </xf>
    <xf numFmtId="0" fontId="77" fillId="5" borderId="58" xfId="0" applyFont="1" applyFill="1" applyBorder="1" applyAlignment="1">
      <alignment horizontal="center" vertical="center" wrapText="1"/>
    </xf>
    <xf numFmtId="0" fontId="77" fillId="5" borderId="18" xfId="0" applyFont="1" applyFill="1" applyBorder="1" applyAlignment="1">
      <alignment horizontal="center" vertical="center" wrapText="1"/>
    </xf>
    <xf numFmtId="0" fontId="77" fillId="5" borderId="59" xfId="0" applyFont="1" applyFill="1" applyBorder="1" applyAlignment="1">
      <alignment horizontal="center" vertical="center" wrapText="1"/>
    </xf>
    <xf numFmtId="0" fontId="77" fillId="5" borderId="60" xfId="0" applyFont="1" applyFill="1" applyBorder="1" applyAlignment="1">
      <alignment horizontal="center" vertical="center" wrapText="1"/>
    </xf>
    <xf numFmtId="0" fontId="77" fillId="5" borderId="65" xfId="0" applyFont="1" applyFill="1" applyBorder="1" applyAlignment="1">
      <alignment horizontal="center" vertical="center" wrapText="1"/>
    </xf>
    <xf numFmtId="0" fontId="77" fillId="5" borderId="20" xfId="0" applyFont="1" applyFill="1" applyBorder="1" applyAlignment="1">
      <alignment horizontal="center" vertical="center" wrapText="1"/>
    </xf>
    <xf numFmtId="2" fontId="2" fillId="5" borderId="8" xfId="0" applyNumberFormat="1" applyFont="1" applyFill="1" applyBorder="1" applyAlignment="1">
      <alignment horizontal="left" vertical="center"/>
    </xf>
    <xf numFmtId="2" fontId="2" fillId="5" borderId="94" xfId="0" applyNumberFormat="1" applyFont="1" applyFill="1" applyBorder="1" applyAlignment="1">
      <alignment horizontal="left" vertical="center"/>
    </xf>
    <xf numFmtId="165" fontId="2" fillId="5" borderId="8" xfId="0" applyNumberFormat="1" applyFont="1" applyFill="1" applyBorder="1" applyAlignment="1">
      <alignment horizontal="left" vertical="center" wrapText="1"/>
    </xf>
    <xf numFmtId="165" fontId="2" fillId="5" borderId="94" xfId="0" applyNumberFormat="1" applyFont="1" applyFill="1" applyBorder="1" applyAlignment="1">
      <alignment horizontal="left" vertical="center" wrapText="1"/>
    </xf>
    <xf numFmtId="0" fontId="2" fillId="5" borderId="13"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07" xfId="0" applyFont="1" applyFill="1" applyBorder="1" applyAlignment="1">
      <alignment horizontal="center" vertical="center"/>
    </xf>
    <xf numFmtId="0" fontId="2" fillId="5" borderId="106" xfId="0" applyFont="1" applyFill="1" applyBorder="1" applyAlignment="1">
      <alignment horizontal="center" vertical="center"/>
    </xf>
    <xf numFmtId="0" fontId="100" fillId="14" borderId="44" xfId="0" applyFont="1" applyFill="1" applyBorder="1" applyAlignment="1">
      <alignment horizontal="left" vertical="center" wrapText="1"/>
    </xf>
    <xf numFmtId="0" fontId="100" fillId="14" borderId="107" xfId="0" applyFont="1" applyFill="1" applyBorder="1" applyAlignment="1">
      <alignment horizontal="left" vertical="center" wrapText="1"/>
    </xf>
    <xf numFmtId="0" fontId="2" fillId="5" borderId="13" xfId="0" applyFont="1" applyFill="1" applyBorder="1" applyAlignment="1">
      <alignment horizontal="left" vertical="center"/>
    </xf>
    <xf numFmtId="0" fontId="2" fillId="5" borderId="107" xfId="0" applyFont="1" applyFill="1" applyBorder="1" applyAlignment="1">
      <alignment horizontal="left" vertical="center"/>
    </xf>
    <xf numFmtId="0" fontId="2" fillId="5" borderId="87" xfId="0" applyFont="1" applyFill="1" applyBorder="1" applyAlignment="1">
      <alignment horizontal="left" vertical="center"/>
    </xf>
    <xf numFmtId="0" fontId="2" fillId="5" borderId="95" xfId="0" applyFont="1" applyFill="1" applyBorder="1" applyAlignment="1">
      <alignment horizontal="left" vertical="center"/>
    </xf>
    <xf numFmtId="0" fontId="0" fillId="5" borderId="66" xfId="0" applyFont="1" applyFill="1" applyBorder="1" applyAlignment="1">
      <alignment horizontal="left" vertical="center"/>
    </xf>
    <xf numFmtId="2" fontId="2" fillId="5" borderId="87" xfId="0" applyNumberFormat="1" applyFont="1" applyFill="1" applyBorder="1" applyAlignment="1">
      <alignment horizontal="left" vertical="center" wrapText="1"/>
    </xf>
    <xf numFmtId="2" fontId="2" fillId="5" borderId="95" xfId="0" applyNumberFormat="1" applyFont="1" applyFill="1" applyBorder="1" applyAlignment="1">
      <alignment horizontal="left" vertical="center" wrapText="1"/>
    </xf>
    <xf numFmtId="169" fontId="97" fillId="75" borderId="96" xfId="0" applyNumberFormat="1" applyFont="1" applyFill="1" applyBorder="1" applyAlignment="1">
      <alignment horizontal="left" vertical="center"/>
    </xf>
    <xf numFmtId="0" fontId="100" fillId="14" borderId="58" xfId="0" applyFont="1" applyFill="1" applyBorder="1" applyAlignment="1">
      <alignment horizontal="left" vertical="center"/>
    </xf>
    <xf numFmtId="0" fontId="100" fillId="14" borderId="60" xfId="0" applyFont="1" applyFill="1" applyBorder="1" applyAlignment="1">
      <alignment horizontal="left" vertical="center"/>
    </xf>
    <xf numFmtId="0" fontId="2" fillId="5" borderId="104" xfId="0" applyFont="1" applyFill="1" applyBorder="1" applyAlignment="1">
      <alignment horizontal="left" vertical="center"/>
    </xf>
    <xf numFmtId="0" fontId="2" fillId="5" borderId="105" xfId="0" applyFont="1" applyFill="1" applyBorder="1" applyAlignment="1">
      <alignment horizontal="left" vertical="center"/>
    </xf>
    <xf numFmtId="0" fontId="2" fillId="5" borderId="12" xfId="0" applyFont="1" applyFill="1" applyBorder="1" applyAlignment="1">
      <alignment horizontal="left" vertical="center"/>
    </xf>
    <xf numFmtId="0" fontId="2" fillId="5" borderId="106" xfId="0" applyFont="1" applyFill="1" applyBorder="1" applyAlignment="1">
      <alignment horizontal="left" vertical="center"/>
    </xf>
    <xf numFmtId="0" fontId="97" fillId="75" borderId="60" xfId="0" applyFont="1" applyFill="1" applyBorder="1" applyAlignment="1">
      <alignment horizontal="center" vertical="center"/>
    </xf>
    <xf numFmtId="0" fontId="97" fillId="75" borderId="65" xfId="0" applyFont="1" applyFill="1" applyBorder="1" applyAlignment="1">
      <alignment horizontal="center" vertical="center"/>
    </xf>
    <xf numFmtId="0" fontId="97" fillId="75" borderId="20" xfId="0" applyFont="1" applyFill="1" applyBorder="1" applyAlignment="1">
      <alignment horizontal="center" vertical="center"/>
    </xf>
    <xf numFmtId="0" fontId="97" fillId="75" borderId="15" xfId="0" applyFont="1" applyFill="1" applyBorder="1" applyAlignment="1">
      <alignment horizontal="center" vertical="center"/>
    </xf>
    <xf numFmtId="0" fontId="97" fillId="75" borderId="14" xfId="0" applyFont="1" applyFill="1" applyBorder="1" applyAlignment="1">
      <alignment horizontal="center" vertical="center"/>
    </xf>
    <xf numFmtId="0" fontId="97" fillId="75" borderId="96" xfId="0" applyFont="1" applyFill="1" applyBorder="1" applyAlignment="1">
      <alignment horizontal="center" vertical="center"/>
    </xf>
    <xf numFmtId="0" fontId="97" fillId="75" borderId="101" xfId="0" applyFont="1" applyFill="1" applyBorder="1" applyAlignment="1">
      <alignment horizontal="center" vertical="center"/>
    </xf>
    <xf numFmtId="0" fontId="97" fillId="75" borderId="102" xfId="0" applyFont="1" applyFill="1" applyBorder="1" applyAlignment="1">
      <alignment horizontal="center" vertical="center"/>
    </xf>
    <xf numFmtId="0" fontId="97" fillId="75" borderId="103" xfId="0" applyFont="1" applyFill="1" applyBorder="1" applyAlignment="1">
      <alignment horizontal="center" vertical="center"/>
    </xf>
    <xf numFmtId="0" fontId="77" fillId="5" borderId="17" xfId="0" applyFont="1" applyFill="1" applyBorder="1" applyAlignment="1">
      <alignment horizontal="center" vertical="center" wrapText="1"/>
    </xf>
    <xf numFmtId="0" fontId="77" fillId="5" borderId="90" xfId="0" applyFont="1" applyFill="1" applyBorder="1" applyAlignment="1">
      <alignment horizontal="center" vertical="center" wrapText="1"/>
    </xf>
    <xf numFmtId="169" fontId="2" fillId="5" borderId="90" xfId="0" applyNumberFormat="1" applyFont="1" applyFill="1" applyBorder="1" applyAlignment="1">
      <alignment horizontal="left" vertical="center" wrapText="1"/>
    </xf>
    <xf numFmtId="169" fontId="2" fillId="5" borderId="16" xfId="0" applyNumberFormat="1" applyFont="1" applyFill="1" applyBorder="1" applyAlignment="1">
      <alignment horizontal="left" vertical="center" wrapText="1"/>
    </xf>
    <xf numFmtId="0" fontId="100" fillId="14" borderId="35" xfId="0" applyFont="1" applyFill="1" applyBorder="1" applyAlignment="1" applyProtection="1">
      <alignment horizontal="left" vertical="center" wrapText="1"/>
      <protection locked="0"/>
    </xf>
    <xf numFmtId="0" fontId="100" fillId="14" borderId="13" xfId="0" applyFont="1" applyFill="1" applyBorder="1" applyAlignment="1" applyProtection="1">
      <alignment horizontal="left" vertical="center" wrapText="1"/>
      <protection locked="0"/>
    </xf>
    <xf numFmtId="9" fontId="0" fillId="0" borderId="72" xfId="2106" applyFont="1" applyFill="1" applyBorder="1" applyAlignment="1" applyProtection="1">
      <alignment horizontal="right" vertical="center"/>
      <protection locked="0"/>
    </xf>
    <xf numFmtId="9" fontId="0" fillId="0" borderId="1" xfId="2106" applyFont="1" applyFill="1" applyBorder="1" applyAlignment="1" applyProtection="1">
      <alignment horizontal="right" vertical="center"/>
      <protection locked="0"/>
    </xf>
    <xf numFmtId="0" fontId="100" fillId="14" borderId="59" xfId="0" applyFont="1" applyFill="1" applyBorder="1" applyAlignment="1" applyProtection="1">
      <alignment horizontal="left" vertical="center" wrapText="1"/>
      <protection locked="0"/>
    </xf>
    <xf numFmtId="0" fontId="100" fillId="14" borderId="19" xfId="0" applyFont="1" applyFill="1" applyBorder="1" applyAlignment="1" applyProtection="1">
      <alignment horizontal="left" vertical="center" wrapText="1"/>
      <protection locked="0"/>
    </xf>
    <xf numFmtId="0" fontId="100" fillId="14" borderId="20" xfId="0" applyFont="1" applyFill="1" applyBorder="1" applyAlignment="1" applyProtection="1">
      <alignment horizontal="left" vertical="center" wrapText="1"/>
      <protection locked="0"/>
    </xf>
    <xf numFmtId="9" fontId="0" fillId="0" borderId="33" xfId="2106" applyFont="1" applyFill="1" applyBorder="1" applyAlignment="1" applyProtection="1">
      <alignment horizontal="right" vertical="center"/>
      <protection locked="0"/>
    </xf>
    <xf numFmtId="9" fontId="0" fillId="0" borderId="8" xfId="2106" applyFont="1" applyFill="1" applyBorder="1" applyAlignment="1" applyProtection="1">
      <alignment horizontal="right" vertical="center"/>
      <protection locked="0"/>
    </xf>
    <xf numFmtId="9" fontId="0" fillId="0" borderId="3" xfId="2106" applyFont="1" applyFill="1" applyBorder="1" applyAlignment="1" applyProtection="1">
      <alignment horizontal="right" vertical="center"/>
      <protection locked="0"/>
    </xf>
    <xf numFmtId="166" fontId="0" fillId="0" borderId="84" xfId="0" applyNumberFormat="1" applyFont="1" applyBorder="1" applyAlignment="1" applyProtection="1">
      <alignment horizontal="right" vertical="center"/>
      <protection locked="0"/>
    </xf>
    <xf numFmtId="166" fontId="0" fillId="0" borderId="74" xfId="0" applyNumberFormat="1" applyFont="1" applyBorder="1" applyAlignment="1" applyProtection="1">
      <alignment horizontal="right" vertical="center"/>
      <protection locked="0"/>
    </xf>
    <xf numFmtId="166" fontId="0" fillId="0" borderId="82" xfId="0" applyNumberFormat="1" applyFont="1" applyBorder="1" applyAlignment="1" applyProtection="1">
      <alignment horizontal="right" vertical="center"/>
      <protection locked="0"/>
    </xf>
    <xf numFmtId="166" fontId="0" fillId="0" borderId="82" xfId="0" applyNumberFormat="1" applyFont="1" applyFill="1" applyBorder="1" applyAlignment="1" applyProtection="1">
      <alignment horizontal="right" vertical="center"/>
      <protection locked="0"/>
    </xf>
    <xf numFmtId="166" fontId="0" fillId="0" borderId="88" xfId="0" applyNumberFormat="1" applyFont="1" applyFill="1" applyBorder="1" applyAlignment="1" applyProtection="1">
      <alignment horizontal="right" vertical="center"/>
      <protection locked="0"/>
    </xf>
    <xf numFmtId="0" fontId="100" fillId="14" borderId="18" xfId="0" applyFont="1" applyFill="1" applyBorder="1" applyAlignment="1" applyProtection="1">
      <alignment horizontal="left" vertical="center" wrapText="1"/>
      <protection locked="0"/>
    </xf>
    <xf numFmtId="0" fontId="100" fillId="14" borderId="0" xfId="0" applyFont="1" applyFill="1" applyBorder="1" applyAlignment="1" applyProtection="1">
      <alignment horizontal="left" vertical="center" wrapText="1"/>
      <protection locked="0"/>
    </xf>
    <xf numFmtId="0" fontId="100" fillId="14" borderId="114" xfId="0" applyFont="1" applyFill="1" applyBorder="1" applyAlignment="1" applyProtection="1">
      <alignment horizontal="left" vertical="center" wrapText="1"/>
      <protection locked="0"/>
    </xf>
    <xf numFmtId="9" fontId="0" fillId="0" borderId="1" xfId="2106" applyFont="1" applyBorder="1" applyAlignment="1" applyProtection="1">
      <alignment horizontal="right" vertical="center"/>
      <protection locked="0"/>
    </xf>
    <xf numFmtId="166" fontId="0" fillId="0" borderId="1" xfId="0" applyNumberFormat="1" applyFont="1" applyBorder="1" applyAlignment="1" applyProtection="1">
      <alignment horizontal="right" vertical="center"/>
      <protection locked="0"/>
    </xf>
    <xf numFmtId="166" fontId="0" fillId="0" borderId="33" xfId="0" applyNumberFormat="1" applyFont="1" applyBorder="1" applyAlignment="1" applyProtection="1">
      <alignment horizontal="right" vertical="center"/>
      <protection locked="0"/>
    </xf>
    <xf numFmtId="166" fontId="0" fillId="0" borderId="8" xfId="0" applyNumberFormat="1" applyFont="1" applyBorder="1" applyAlignment="1" applyProtection="1">
      <alignment horizontal="right" vertical="center"/>
      <protection locked="0"/>
    </xf>
    <xf numFmtId="166" fontId="0" fillId="0" borderId="3" xfId="0" applyNumberFormat="1" applyFont="1" applyBorder="1" applyAlignment="1" applyProtection="1">
      <alignment horizontal="right" vertical="center"/>
      <protection locked="0"/>
    </xf>
    <xf numFmtId="9" fontId="0" fillId="0" borderId="48" xfId="2106" applyFont="1" applyBorder="1" applyAlignment="1" applyProtection="1">
      <alignment horizontal="right" vertical="center"/>
      <protection locked="0"/>
    </xf>
    <xf numFmtId="9" fontId="0" fillId="0" borderId="8" xfId="2106" applyFont="1" applyBorder="1" applyAlignment="1" applyProtection="1">
      <alignment horizontal="right" vertical="center"/>
      <protection locked="0"/>
    </xf>
    <xf numFmtId="9" fontId="0" fillId="0" borderId="3" xfId="2106" applyFont="1" applyBorder="1" applyAlignment="1" applyProtection="1">
      <alignment horizontal="right" vertical="center"/>
      <protection locked="0"/>
    </xf>
    <xf numFmtId="166" fontId="0" fillId="0" borderId="33" xfId="0" applyNumberFormat="1" applyFont="1" applyFill="1" applyBorder="1" applyAlignment="1" applyProtection="1">
      <alignment horizontal="right" vertical="center"/>
      <protection locked="0"/>
    </xf>
    <xf numFmtId="166" fontId="0" fillId="0" borderId="3" xfId="0" applyNumberFormat="1" applyFont="1" applyFill="1" applyBorder="1" applyAlignment="1" applyProtection="1">
      <alignment horizontal="right" vertical="center"/>
      <protection locked="0"/>
    </xf>
    <xf numFmtId="166" fontId="0" fillId="0" borderId="84" xfId="0" applyNumberFormat="1" applyFont="1" applyFill="1" applyBorder="1" applyAlignment="1" applyProtection="1">
      <alignment horizontal="right"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00" fillId="14" borderId="44" xfId="0" applyFont="1" applyFill="1" applyBorder="1" applyAlignment="1" applyProtection="1">
      <alignment horizontal="left" vertical="center" wrapText="1"/>
      <protection locked="0"/>
    </xf>
    <xf numFmtId="0" fontId="100" fillId="14" borderId="107" xfId="0" applyFont="1" applyFill="1" applyBorder="1" applyAlignment="1" applyProtection="1">
      <alignment horizontal="left" vertical="center" wrapText="1"/>
      <protection locked="0"/>
    </xf>
    <xf numFmtId="166" fontId="0" fillId="0" borderId="74" xfId="0" applyNumberFormat="1" applyFont="1" applyFill="1" applyBorder="1" applyAlignment="1" applyProtection="1">
      <alignment horizontal="right" vertical="center"/>
      <protection locked="0"/>
    </xf>
    <xf numFmtId="0" fontId="100" fillId="14" borderId="80" xfId="0" applyFont="1" applyFill="1" applyBorder="1" applyAlignment="1" applyProtection="1">
      <alignment horizontal="left" vertical="center" wrapText="1"/>
      <protection locked="0"/>
    </xf>
    <xf numFmtId="169" fontId="97" fillId="75" borderId="96" xfId="0" applyNumberFormat="1" applyFont="1" applyFill="1" applyBorder="1" applyAlignment="1" applyProtection="1">
      <alignment horizontal="center" vertical="center"/>
      <protection locked="0"/>
    </xf>
    <xf numFmtId="169" fontId="97" fillId="75" borderId="14" xfId="0" applyNumberFormat="1" applyFont="1" applyFill="1" applyBorder="1" applyAlignment="1" applyProtection="1">
      <alignment horizontal="center" vertical="center"/>
      <protection locked="0"/>
    </xf>
    <xf numFmtId="169" fontId="97" fillId="75" borderId="15" xfId="0" applyNumberFormat="1" applyFont="1" applyFill="1" applyBorder="1" applyAlignment="1" applyProtection="1">
      <alignment horizontal="center" vertical="center"/>
      <protection locked="0"/>
    </xf>
    <xf numFmtId="0" fontId="100" fillId="14" borderId="58" xfId="0" applyFont="1" applyFill="1" applyBorder="1" applyAlignment="1" applyProtection="1">
      <alignment horizontal="left" vertical="center"/>
      <protection locked="0"/>
    </xf>
    <xf numFmtId="0" fontId="100" fillId="14" borderId="60" xfId="0" applyFont="1" applyFill="1" applyBorder="1" applyAlignment="1" applyProtection="1">
      <alignment horizontal="left" vertical="center"/>
      <protection locked="0"/>
    </xf>
    <xf numFmtId="0" fontId="2" fillId="5" borderId="58"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2" fillId="5" borderId="59" xfId="0" applyFont="1" applyFill="1" applyBorder="1" applyAlignment="1" applyProtection="1">
      <alignment horizontal="center"/>
      <protection locked="0"/>
    </xf>
    <xf numFmtId="0" fontId="2" fillId="5" borderId="17" xfId="0" applyFont="1" applyFill="1" applyBorder="1" applyAlignment="1" applyProtection="1">
      <alignment horizontal="center"/>
      <protection locked="0"/>
    </xf>
    <xf numFmtId="0" fontId="2" fillId="5" borderId="90" xfId="0" applyFont="1" applyFill="1" applyBorder="1" applyAlignment="1" applyProtection="1">
      <alignment horizontal="center"/>
      <protection locked="0"/>
    </xf>
    <xf numFmtId="0" fontId="77" fillId="5" borderId="17" xfId="0" applyFont="1" applyFill="1" applyBorder="1" applyAlignment="1" applyProtection="1">
      <alignment horizontal="center" vertical="center" wrapText="1"/>
      <protection locked="0"/>
    </xf>
    <xf numFmtId="0" fontId="77" fillId="5" borderId="90" xfId="0" applyFont="1" applyFill="1" applyBorder="1" applyAlignment="1" applyProtection="1">
      <alignment horizontal="center" vertical="center" wrapText="1"/>
      <protection locked="0"/>
    </xf>
    <xf numFmtId="0" fontId="77" fillId="5" borderId="16" xfId="0"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protection locked="0"/>
    </xf>
    <xf numFmtId="0" fontId="2" fillId="78" borderId="102" xfId="0" applyFont="1" applyFill="1" applyBorder="1"/>
    <xf numFmtId="0" fontId="0" fillId="78" borderId="103" xfId="0" applyFont="1" applyFill="1" applyBorder="1"/>
    <xf numFmtId="0" fontId="0" fillId="0" borderId="75" xfId="0" applyFont="1" applyBorder="1" applyAlignment="1">
      <alignment horizontal="left" vertical="center"/>
    </xf>
    <xf numFmtId="0" fontId="0" fillId="0" borderId="76" xfId="0" applyFont="1" applyBorder="1" applyAlignment="1">
      <alignment horizontal="left" vertical="center" wrapText="1"/>
    </xf>
    <xf numFmtId="0" fontId="0" fillId="78" borderId="103" xfId="0" applyFont="1" applyFill="1" applyBorder="1" applyAlignment="1">
      <alignment wrapText="1"/>
    </xf>
    <xf numFmtId="0" fontId="0" fillId="78" borderId="150" xfId="0" applyFont="1" applyFill="1" applyBorder="1" applyAlignment="1">
      <alignment wrapText="1"/>
    </xf>
    <xf numFmtId="0" fontId="0" fillId="0" borderId="83" xfId="0" applyFont="1" applyBorder="1" applyAlignment="1">
      <alignment horizontal="right" vertical="center"/>
    </xf>
    <xf numFmtId="0" fontId="0" fillId="0" borderId="3" xfId="0" applyFont="1" applyBorder="1" applyAlignment="1">
      <alignment horizontal="right" vertical="center" wrapText="1"/>
    </xf>
    <xf numFmtId="170" fontId="0" fillId="0" borderId="3" xfId="0" applyNumberFormat="1" applyFont="1" applyBorder="1" applyAlignment="1">
      <alignment horizontal="right" vertical="center"/>
    </xf>
    <xf numFmtId="170" fontId="0" fillId="0" borderId="84" xfId="0" applyNumberFormat="1" applyFont="1" applyBorder="1" applyAlignment="1">
      <alignment horizontal="right" vertical="center"/>
    </xf>
    <xf numFmtId="0" fontId="0" fillId="0" borderId="23" xfId="0" applyFont="1" applyBorder="1" applyAlignment="1">
      <alignment horizontal="right" vertical="center"/>
    </xf>
    <xf numFmtId="0" fontId="0" fillId="0" borderId="1" xfId="0" applyFont="1" applyBorder="1" applyAlignment="1">
      <alignment horizontal="right" vertical="center" wrapText="1"/>
    </xf>
    <xf numFmtId="170" fontId="0" fillId="0" borderId="1" xfId="0" applyNumberFormat="1" applyFont="1" applyBorder="1" applyAlignment="1">
      <alignment horizontal="right" vertical="center"/>
    </xf>
    <xf numFmtId="170" fontId="0" fillId="0" borderId="74" xfId="0" applyNumberFormat="1" applyFont="1" applyBorder="1" applyAlignment="1">
      <alignment horizontal="right" vertical="center"/>
    </xf>
    <xf numFmtId="0" fontId="0" fillId="0" borderId="75" xfId="0" applyFont="1" applyBorder="1" applyAlignment="1">
      <alignment horizontal="right" vertical="center"/>
    </xf>
    <xf numFmtId="0" fontId="0" fillId="0" borderId="76" xfId="0" applyFont="1" applyBorder="1" applyAlignment="1">
      <alignment horizontal="right" vertical="center" wrapText="1"/>
    </xf>
    <xf numFmtId="170" fontId="0" fillId="0" borderId="76" xfId="0" applyNumberFormat="1" applyFont="1" applyBorder="1" applyAlignment="1">
      <alignment horizontal="right" vertical="center"/>
    </xf>
    <xf numFmtId="170" fontId="0" fillId="0" borderId="77" xfId="0" applyNumberFormat="1" applyFont="1" applyBorder="1" applyAlignment="1">
      <alignment horizontal="right" vertical="center"/>
    </xf>
    <xf numFmtId="175" fontId="0" fillId="0" borderId="3" xfId="1" applyNumberFormat="1" applyFont="1" applyBorder="1" applyAlignment="1">
      <alignment horizontal="right" vertical="center"/>
    </xf>
    <xf numFmtId="175" fontId="0" fillId="0" borderId="84" xfId="1" applyNumberFormat="1" applyFont="1" applyBorder="1" applyAlignment="1">
      <alignment horizontal="right" vertical="center"/>
    </xf>
  </cellXfs>
  <cellStyles count="2110">
    <cellStyle name="20% - Accent1" xfId="160" builtinId="30" customBuiltin="1"/>
    <cellStyle name="20% - Accent1 2" xfId="58"/>
    <cellStyle name="20% - Accent2" xfId="164" builtinId="34" customBuiltin="1"/>
    <cellStyle name="20% - Accent2 2" xfId="59"/>
    <cellStyle name="20% - Accent3" xfId="168" builtinId="38" customBuiltin="1"/>
    <cellStyle name="20% - Accent3 2" xfId="60"/>
    <cellStyle name="20% - Accent4" xfId="172" builtinId="42" customBuiltin="1"/>
    <cellStyle name="20% - Accent4 2" xfId="61"/>
    <cellStyle name="20% - Accent5" xfId="176" builtinId="46" customBuiltin="1"/>
    <cellStyle name="20% - Accent5 2" xfId="62"/>
    <cellStyle name="20% - Accent6" xfId="180" builtinId="50" customBuiltin="1"/>
    <cellStyle name="20% - Accent6 2" xfId="63"/>
    <cellStyle name="40% - Accent1" xfId="161" builtinId="31" customBuiltin="1"/>
    <cellStyle name="40% - Accent1 2" xfId="64"/>
    <cellStyle name="40% - Accent2" xfId="165" builtinId="35" customBuiltin="1"/>
    <cellStyle name="40% - Accent2 2" xfId="65"/>
    <cellStyle name="40% - Accent3" xfId="169" builtinId="39" customBuiltin="1"/>
    <cellStyle name="40% - Accent3 2" xfId="66"/>
    <cellStyle name="40% - Accent4" xfId="173" builtinId="43" customBuiltin="1"/>
    <cellStyle name="40% - Accent4 2" xfId="67"/>
    <cellStyle name="40% - Accent5" xfId="177" builtinId="47" customBuiltin="1"/>
    <cellStyle name="40% - Accent5 2" xfId="68"/>
    <cellStyle name="40% - Accent6" xfId="181" builtinId="51" customBuiltin="1"/>
    <cellStyle name="40% - Accent6 2" xfId="69"/>
    <cellStyle name="60% - Accent1" xfId="162" builtinId="32" customBuiltin="1"/>
    <cellStyle name="60% - Accent1 2" xfId="70"/>
    <cellStyle name="60% - Accent2" xfId="166" builtinId="36" customBuiltin="1"/>
    <cellStyle name="60% - Accent2 2" xfId="71"/>
    <cellStyle name="60% - Accent3" xfId="170" builtinId="40" customBuiltin="1"/>
    <cellStyle name="60% - Accent3 2" xfId="72"/>
    <cellStyle name="60% - Accent4" xfId="174" builtinId="44" customBuiltin="1"/>
    <cellStyle name="60% - Accent4 2" xfId="73"/>
    <cellStyle name="60% - Accent5" xfId="178" builtinId="48" customBuiltin="1"/>
    <cellStyle name="60% - Accent5 2" xfId="74"/>
    <cellStyle name="60% - Accent6" xfId="182" builtinId="52" customBuiltin="1"/>
    <cellStyle name="60% - Accent6 2" xfId="75"/>
    <cellStyle name="Accent1" xfId="159" builtinId="29" customBuiltin="1"/>
    <cellStyle name="Accent1 2" xfId="76"/>
    <cellStyle name="Accent2" xfId="163" builtinId="33" customBuiltin="1"/>
    <cellStyle name="Accent2 2" xfId="77"/>
    <cellStyle name="Accent3" xfId="167" builtinId="37" customBuiltin="1"/>
    <cellStyle name="Accent3 2" xfId="78"/>
    <cellStyle name="Accent4" xfId="171" builtinId="41" customBuiltin="1"/>
    <cellStyle name="Accent4 2" xfId="79"/>
    <cellStyle name="Accent5" xfId="175" builtinId="45" customBuiltin="1"/>
    <cellStyle name="Accent5 2" xfId="80"/>
    <cellStyle name="Accent6" xfId="179" builtinId="49" customBuiltin="1"/>
    <cellStyle name="Accent6 2" xfId="81"/>
    <cellStyle name="Bad" xfId="148" builtinId="27" customBuiltin="1"/>
    <cellStyle name="Bad 2" xfId="82"/>
    <cellStyle name="Calculation" xfId="152" builtinId="22" customBuiltin="1"/>
    <cellStyle name="Calculation 2" xfId="83"/>
    <cellStyle name="Calculation 2 2" xfId="135"/>
    <cellStyle name="Check Cell" xfId="154" builtinId="23" customBuiltin="1"/>
    <cellStyle name="Check Cell 2" xfId="84"/>
    <cellStyle name="Comma" xfId="3" builtinId="3"/>
    <cellStyle name="Comma 2" xfId="6"/>
    <cellStyle name="Comma 2 2" xfId="27"/>
    <cellStyle name="Comma 2 2 2" xfId="85"/>
    <cellStyle name="Comma 2 3" xfId="86"/>
    <cellStyle name="Comma 3" xfId="7"/>
    <cellStyle name="Comma 3 2" xfId="28"/>
    <cellStyle name="Comma 3 2 2" xfId="87"/>
    <cellStyle name="Comma 3 3" xfId="88"/>
    <cellStyle name="Comma 3 4" xfId="125"/>
    <cellStyle name="Comma 4" xfId="126"/>
    <cellStyle name="Comma 5" xfId="5"/>
    <cellStyle name="Currency" xfId="1" builtinId="4"/>
    <cellStyle name="Currency 2" xfId="9"/>
    <cellStyle name="Currency 2 2" xfId="29"/>
    <cellStyle name="Currency 2 2 2" xfId="89"/>
    <cellStyle name="Currency 2 3" xfId="90"/>
    <cellStyle name="Currency 3" xfId="10"/>
    <cellStyle name="Currency 3 2" xfId="30"/>
    <cellStyle name="Currency 3 2 2" xfId="91"/>
    <cellStyle name="Currency 3 3" xfId="92"/>
    <cellStyle name="Currency 3 4" xfId="127"/>
    <cellStyle name="Currency 4" xfId="8"/>
    <cellStyle name="Currency 5" xfId="2105"/>
    <cellStyle name="Data Field" xfId="11"/>
    <cellStyle name="Data Field 2" xfId="31"/>
    <cellStyle name="Data Field 2 2" xfId="93"/>
    <cellStyle name="Data Field 3" xfId="94"/>
    <cellStyle name="Data Name" xfId="12"/>
    <cellStyle name="Date/Time" xfId="13"/>
    <cellStyle name="Explanatory Text" xfId="157" builtinId="53" customBuiltin="1"/>
    <cellStyle name="Explanatory Text 2" xfId="95"/>
    <cellStyle name="Good" xfId="147" builtinId="26" customBuiltin="1"/>
    <cellStyle name="Good 2" xfId="96"/>
    <cellStyle name="Heading" xfId="14"/>
    <cellStyle name="Heading 1" xfId="143" builtinId="16" customBuiltin="1"/>
    <cellStyle name="Heading 1 2" xfId="97"/>
    <cellStyle name="Heading 2" xfId="144" builtinId="17" customBuiltin="1"/>
    <cellStyle name="Heading 2 2" xfId="15"/>
    <cellStyle name="Heading 2 2 2" xfId="185"/>
    <cellStyle name="Heading 2 3" xfId="133"/>
    <cellStyle name="Heading 3" xfId="145" builtinId="18" customBuiltin="1"/>
    <cellStyle name="Heading 3 2" xfId="98"/>
    <cellStyle name="Heading 4" xfId="146" builtinId="19" customBuiltin="1"/>
    <cellStyle name="Heading 4 2" xfId="99"/>
    <cellStyle name="Hyperlink" xfId="2" builtinId="8"/>
    <cellStyle name="Hyperlink 2" xfId="16"/>
    <cellStyle name="Hyperlink 3" xfId="57"/>
    <cellStyle name="Hyperlink 3 2" xfId="2101"/>
    <cellStyle name="Hyperlink 3 3" xfId="186"/>
    <cellStyle name="Hyperlink 4" xfId="187"/>
    <cellStyle name="Hyperlink 5" xfId="2100"/>
    <cellStyle name="Input" xfId="150" builtinId="20" customBuiltin="1"/>
    <cellStyle name="Input 2" xfId="100"/>
    <cellStyle name="Input 2 2" xfId="136"/>
    <cellStyle name="Linked Cell" xfId="153" builtinId="24" customBuiltin="1"/>
    <cellStyle name="Linked Cell 2" xfId="101"/>
    <cellStyle name="Neutral" xfId="149" builtinId="28" customBuiltin="1"/>
    <cellStyle name="Neutral 2" xfId="102"/>
    <cellStyle name="Normal" xfId="0" builtinId="0"/>
    <cellStyle name="Normal 10" xfId="32"/>
    <cellStyle name="Normal 10 2" xfId="122"/>
    <cellStyle name="Normal 10 3" xfId="2109"/>
    <cellStyle name="Normal 11" xfId="33"/>
    <cellStyle name="Normal 12" xfId="34"/>
    <cellStyle name="Normal 13" xfId="55"/>
    <cellStyle name="Normal 13 2" xfId="56"/>
    <cellStyle name="Normal 14" xfId="120"/>
    <cellStyle name="Normal 14 2" xfId="139"/>
    <cellStyle name="Normal 15" xfId="121"/>
    <cellStyle name="Normal 16" xfId="4"/>
    <cellStyle name="Normal 17" xfId="2104"/>
    <cellStyle name="Normal 2" xfId="17"/>
    <cellStyle name="Normal 2 10" xfId="188"/>
    <cellStyle name="Normal 2 10 10" xfId="189"/>
    <cellStyle name="Normal 2 10 11" xfId="190"/>
    <cellStyle name="Normal 2 10 12" xfId="191"/>
    <cellStyle name="Normal 2 10 13" xfId="192"/>
    <cellStyle name="Normal 2 10 14" xfId="193"/>
    <cellStyle name="Normal 2 10 15" xfId="194"/>
    <cellStyle name="Normal 2 10 16" xfId="195"/>
    <cellStyle name="Normal 2 10 17" xfId="196"/>
    <cellStyle name="Normal 2 10 18" xfId="197"/>
    <cellStyle name="Normal 2 10 19" xfId="198"/>
    <cellStyle name="Normal 2 10 2" xfId="199"/>
    <cellStyle name="Normal 2 10 20" xfId="200"/>
    <cellStyle name="Normal 2 10 21" xfId="201"/>
    <cellStyle name="Normal 2 10 22" xfId="202"/>
    <cellStyle name="Normal 2 10 23" xfId="203"/>
    <cellStyle name="Normal 2 10 3" xfId="204"/>
    <cellStyle name="Normal 2 10 4" xfId="205"/>
    <cellStyle name="Normal 2 10 5" xfId="206"/>
    <cellStyle name="Normal 2 10 6" xfId="207"/>
    <cellStyle name="Normal 2 10 7" xfId="208"/>
    <cellStyle name="Normal 2 10 8" xfId="209"/>
    <cellStyle name="Normal 2 10 9" xfId="210"/>
    <cellStyle name="Normal 2 11" xfId="211"/>
    <cellStyle name="Normal 2 11 10" xfId="212"/>
    <cellStyle name="Normal 2 11 11" xfId="213"/>
    <cellStyle name="Normal 2 11 12" xfId="214"/>
    <cellStyle name="Normal 2 11 13" xfId="215"/>
    <cellStyle name="Normal 2 11 14" xfId="216"/>
    <cellStyle name="Normal 2 11 15" xfId="217"/>
    <cellStyle name="Normal 2 11 16" xfId="218"/>
    <cellStyle name="Normal 2 11 17" xfId="219"/>
    <cellStyle name="Normal 2 11 18" xfId="220"/>
    <cellStyle name="Normal 2 11 19" xfId="221"/>
    <cellStyle name="Normal 2 11 2" xfId="222"/>
    <cellStyle name="Normal 2 11 20" xfId="223"/>
    <cellStyle name="Normal 2 11 21" xfId="224"/>
    <cellStyle name="Normal 2 11 22" xfId="225"/>
    <cellStyle name="Normal 2 11 23" xfId="226"/>
    <cellStyle name="Normal 2 11 3" xfId="227"/>
    <cellStyle name="Normal 2 11 4" xfId="228"/>
    <cellStyle name="Normal 2 11 5" xfId="229"/>
    <cellStyle name="Normal 2 11 6" xfId="230"/>
    <cellStyle name="Normal 2 11 7" xfId="231"/>
    <cellStyle name="Normal 2 11 8" xfId="232"/>
    <cellStyle name="Normal 2 11 9" xfId="233"/>
    <cellStyle name="Normal 2 12" xfId="234"/>
    <cellStyle name="Normal 2 12 10" xfId="235"/>
    <cellStyle name="Normal 2 12 11" xfId="236"/>
    <cellStyle name="Normal 2 12 12" xfId="237"/>
    <cellStyle name="Normal 2 12 13" xfId="238"/>
    <cellStyle name="Normal 2 12 14" xfId="239"/>
    <cellStyle name="Normal 2 12 15" xfId="240"/>
    <cellStyle name="Normal 2 12 16" xfId="241"/>
    <cellStyle name="Normal 2 12 17" xfId="242"/>
    <cellStyle name="Normal 2 12 18" xfId="243"/>
    <cellStyle name="Normal 2 12 19" xfId="244"/>
    <cellStyle name="Normal 2 12 2" xfId="245"/>
    <cellStyle name="Normal 2 12 20" xfId="246"/>
    <cellStyle name="Normal 2 12 21" xfId="247"/>
    <cellStyle name="Normal 2 12 22" xfId="248"/>
    <cellStyle name="Normal 2 12 23" xfId="249"/>
    <cellStyle name="Normal 2 12 3" xfId="250"/>
    <cellStyle name="Normal 2 12 4" xfId="251"/>
    <cellStyle name="Normal 2 12 5" xfId="252"/>
    <cellStyle name="Normal 2 12 6" xfId="253"/>
    <cellStyle name="Normal 2 12 7" xfId="254"/>
    <cellStyle name="Normal 2 12 8" xfId="255"/>
    <cellStyle name="Normal 2 12 9" xfId="256"/>
    <cellStyle name="Normal 2 13" xfId="257"/>
    <cellStyle name="Normal 2 13 10" xfId="258"/>
    <cellStyle name="Normal 2 13 11" xfId="259"/>
    <cellStyle name="Normal 2 13 12" xfId="260"/>
    <cellStyle name="Normal 2 13 13" xfId="261"/>
    <cellStyle name="Normal 2 13 14" xfId="262"/>
    <cellStyle name="Normal 2 13 15" xfId="263"/>
    <cellStyle name="Normal 2 13 16" xfId="264"/>
    <cellStyle name="Normal 2 13 17" xfId="265"/>
    <cellStyle name="Normal 2 13 18" xfId="266"/>
    <cellStyle name="Normal 2 13 19" xfId="267"/>
    <cellStyle name="Normal 2 13 2" xfId="268"/>
    <cellStyle name="Normal 2 13 20" xfId="269"/>
    <cellStyle name="Normal 2 13 21" xfId="270"/>
    <cellStyle name="Normal 2 13 22" xfId="271"/>
    <cellStyle name="Normal 2 13 23" xfId="272"/>
    <cellStyle name="Normal 2 13 3" xfId="273"/>
    <cellStyle name="Normal 2 13 4" xfId="274"/>
    <cellStyle name="Normal 2 13 5" xfId="275"/>
    <cellStyle name="Normal 2 13 6" xfId="276"/>
    <cellStyle name="Normal 2 13 7" xfId="277"/>
    <cellStyle name="Normal 2 13 8" xfId="278"/>
    <cellStyle name="Normal 2 13 9" xfId="279"/>
    <cellStyle name="Normal 2 14" xfId="280"/>
    <cellStyle name="Normal 2 14 10" xfId="281"/>
    <cellStyle name="Normal 2 14 11" xfId="282"/>
    <cellStyle name="Normal 2 14 12" xfId="283"/>
    <cellStyle name="Normal 2 14 13" xfId="284"/>
    <cellStyle name="Normal 2 14 14" xfId="285"/>
    <cellStyle name="Normal 2 14 15" xfId="286"/>
    <cellStyle name="Normal 2 14 16" xfId="287"/>
    <cellStyle name="Normal 2 14 17" xfId="288"/>
    <cellStyle name="Normal 2 14 18" xfId="289"/>
    <cellStyle name="Normal 2 14 19" xfId="290"/>
    <cellStyle name="Normal 2 14 2" xfId="291"/>
    <cellStyle name="Normal 2 14 20" xfId="292"/>
    <cellStyle name="Normal 2 14 21" xfId="293"/>
    <cellStyle name="Normal 2 14 22" xfId="294"/>
    <cellStyle name="Normal 2 14 23" xfId="295"/>
    <cellStyle name="Normal 2 14 3" xfId="296"/>
    <cellStyle name="Normal 2 14 4" xfId="297"/>
    <cellStyle name="Normal 2 14 5" xfId="298"/>
    <cellStyle name="Normal 2 14 6" xfId="299"/>
    <cellStyle name="Normal 2 14 7" xfId="300"/>
    <cellStyle name="Normal 2 14 8" xfId="301"/>
    <cellStyle name="Normal 2 14 9" xfId="302"/>
    <cellStyle name="Normal 2 15" xfId="303"/>
    <cellStyle name="Normal 2 15 10" xfId="304"/>
    <cellStyle name="Normal 2 15 11" xfId="305"/>
    <cellStyle name="Normal 2 15 12" xfId="306"/>
    <cellStyle name="Normal 2 15 13" xfId="307"/>
    <cellStyle name="Normal 2 15 14" xfId="308"/>
    <cellStyle name="Normal 2 15 15" xfId="309"/>
    <cellStyle name="Normal 2 15 16" xfId="310"/>
    <cellStyle name="Normal 2 15 17" xfId="311"/>
    <cellStyle name="Normal 2 15 18" xfId="312"/>
    <cellStyle name="Normal 2 15 19" xfId="313"/>
    <cellStyle name="Normal 2 15 2" xfId="314"/>
    <cellStyle name="Normal 2 15 20" xfId="315"/>
    <cellStyle name="Normal 2 15 21" xfId="316"/>
    <cellStyle name="Normal 2 15 22" xfId="317"/>
    <cellStyle name="Normal 2 15 23" xfId="318"/>
    <cellStyle name="Normal 2 15 3" xfId="319"/>
    <cellStyle name="Normal 2 15 4" xfId="320"/>
    <cellStyle name="Normal 2 15 5" xfId="321"/>
    <cellStyle name="Normal 2 15 6" xfId="322"/>
    <cellStyle name="Normal 2 15 7" xfId="323"/>
    <cellStyle name="Normal 2 15 8" xfId="324"/>
    <cellStyle name="Normal 2 15 9" xfId="325"/>
    <cellStyle name="Normal 2 16" xfId="326"/>
    <cellStyle name="Normal 2 16 10" xfId="327"/>
    <cellStyle name="Normal 2 16 11" xfId="328"/>
    <cellStyle name="Normal 2 16 12" xfId="329"/>
    <cellStyle name="Normal 2 16 13" xfId="330"/>
    <cellStyle name="Normal 2 16 14" xfId="331"/>
    <cellStyle name="Normal 2 16 15" xfId="332"/>
    <cellStyle name="Normal 2 16 16" xfId="333"/>
    <cellStyle name="Normal 2 16 17" xfId="334"/>
    <cellStyle name="Normal 2 16 18" xfId="335"/>
    <cellStyle name="Normal 2 16 19" xfId="336"/>
    <cellStyle name="Normal 2 16 2" xfId="337"/>
    <cellStyle name="Normal 2 16 20" xfId="338"/>
    <cellStyle name="Normal 2 16 21" xfId="339"/>
    <cellStyle name="Normal 2 16 22" xfId="340"/>
    <cellStyle name="Normal 2 16 23" xfId="341"/>
    <cellStyle name="Normal 2 16 3" xfId="342"/>
    <cellStyle name="Normal 2 16 4" xfId="343"/>
    <cellStyle name="Normal 2 16 5" xfId="344"/>
    <cellStyle name="Normal 2 16 6" xfId="345"/>
    <cellStyle name="Normal 2 16 7" xfId="346"/>
    <cellStyle name="Normal 2 16 8" xfId="347"/>
    <cellStyle name="Normal 2 16 9" xfId="348"/>
    <cellStyle name="Normal 2 17" xfId="349"/>
    <cellStyle name="Normal 2 17 10" xfId="350"/>
    <cellStyle name="Normal 2 17 11" xfId="351"/>
    <cellStyle name="Normal 2 17 12" xfId="352"/>
    <cellStyle name="Normal 2 17 13" xfId="353"/>
    <cellStyle name="Normal 2 17 14" xfId="354"/>
    <cellStyle name="Normal 2 17 15" xfId="355"/>
    <cellStyle name="Normal 2 17 16" xfId="356"/>
    <cellStyle name="Normal 2 17 17" xfId="357"/>
    <cellStyle name="Normal 2 17 18" xfId="358"/>
    <cellStyle name="Normal 2 17 19" xfId="359"/>
    <cellStyle name="Normal 2 17 2" xfId="360"/>
    <cellStyle name="Normal 2 17 20" xfId="361"/>
    <cellStyle name="Normal 2 17 21" xfId="362"/>
    <cellStyle name="Normal 2 17 22" xfId="363"/>
    <cellStyle name="Normal 2 17 23" xfId="364"/>
    <cellStyle name="Normal 2 17 3" xfId="365"/>
    <cellStyle name="Normal 2 17 4" xfId="366"/>
    <cellStyle name="Normal 2 17 5" xfId="367"/>
    <cellStyle name="Normal 2 17 6" xfId="368"/>
    <cellStyle name="Normal 2 17 7" xfId="369"/>
    <cellStyle name="Normal 2 17 8" xfId="370"/>
    <cellStyle name="Normal 2 17 9" xfId="371"/>
    <cellStyle name="Normal 2 18" xfId="372"/>
    <cellStyle name="Normal 2 18 10" xfId="373"/>
    <cellStyle name="Normal 2 18 11" xfId="374"/>
    <cellStyle name="Normal 2 18 12" xfId="375"/>
    <cellStyle name="Normal 2 18 13" xfId="376"/>
    <cellStyle name="Normal 2 18 14" xfId="377"/>
    <cellStyle name="Normal 2 18 15" xfId="378"/>
    <cellStyle name="Normal 2 18 16" xfId="379"/>
    <cellStyle name="Normal 2 18 17" xfId="380"/>
    <cellStyle name="Normal 2 18 18" xfId="381"/>
    <cellStyle name="Normal 2 18 19" xfId="382"/>
    <cellStyle name="Normal 2 18 2" xfId="383"/>
    <cellStyle name="Normal 2 18 20" xfId="384"/>
    <cellStyle name="Normal 2 18 21" xfId="385"/>
    <cellStyle name="Normal 2 18 22" xfId="386"/>
    <cellStyle name="Normal 2 18 23" xfId="387"/>
    <cellStyle name="Normal 2 18 3" xfId="388"/>
    <cellStyle name="Normal 2 18 4" xfId="389"/>
    <cellStyle name="Normal 2 18 5" xfId="390"/>
    <cellStyle name="Normal 2 18 6" xfId="391"/>
    <cellStyle name="Normal 2 18 7" xfId="392"/>
    <cellStyle name="Normal 2 18 8" xfId="393"/>
    <cellStyle name="Normal 2 18 9" xfId="394"/>
    <cellStyle name="Normal 2 19" xfId="395"/>
    <cellStyle name="Normal 2 19 10" xfId="396"/>
    <cellStyle name="Normal 2 19 11" xfId="397"/>
    <cellStyle name="Normal 2 19 12" xfId="398"/>
    <cellStyle name="Normal 2 19 13" xfId="399"/>
    <cellStyle name="Normal 2 19 14" xfId="400"/>
    <cellStyle name="Normal 2 19 15" xfId="401"/>
    <cellStyle name="Normal 2 19 16" xfId="402"/>
    <cellStyle name="Normal 2 19 17" xfId="403"/>
    <cellStyle name="Normal 2 19 18" xfId="404"/>
    <cellStyle name="Normal 2 19 19" xfId="405"/>
    <cellStyle name="Normal 2 19 2" xfId="406"/>
    <cellStyle name="Normal 2 19 20" xfId="407"/>
    <cellStyle name="Normal 2 19 21" xfId="408"/>
    <cellStyle name="Normal 2 19 22" xfId="409"/>
    <cellStyle name="Normal 2 19 23" xfId="410"/>
    <cellStyle name="Normal 2 19 3" xfId="411"/>
    <cellStyle name="Normal 2 19 4" xfId="412"/>
    <cellStyle name="Normal 2 19 5" xfId="413"/>
    <cellStyle name="Normal 2 19 6" xfId="414"/>
    <cellStyle name="Normal 2 19 7" xfId="415"/>
    <cellStyle name="Normal 2 19 8" xfId="416"/>
    <cellStyle name="Normal 2 19 9" xfId="417"/>
    <cellStyle name="Normal 2 2" xfId="18"/>
    <cellStyle name="Normal 2 2 2" xfId="35"/>
    <cellStyle name="Normal 2 2 2 2" xfId="103"/>
    <cellStyle name="Normal 2 2 3" xfId="104"/>
    <cellStyle name="Normal 2 2 4" xfId="418"/>
    <cellStyle name="Normal 2 2 5" xfId="183"/>
    <cellStyle name="Normal 2 20" xfId="419"/>
    <cellStyle name="Normal 2 20 10" xfId="420"/>
    <cellStyle name="Normal 2 20 11" xfId="421"/>
    <cellStyle name="Normal 2 20 12" xfId="422"/>
    <cellStyle name="Normal 2 20 13" xfId="423"/>
    <cellStyle name="Normal 2 20 14" xfId="424"/>
    <cellStyle name="Normal 2 20 15" xfId="425"/>
    <cellStyle name="Normal 2 20 16" xfId="426"/>
    <cellStyle name="Normal 2 20 17" xfId="427"/>
    <cellStyle name="Normal 2 20 18" xfId="428"/>
    <cellStyle name="Normal 2 20 19" xfId="429"/>
    <cellStyle name="Normal 2 20 2" xfId="430"/>
    <cellStyle name="Normal 2 20 20" xfId="431"/>
    <cellStyle name="Normal 2 20 21" xfId="432"/>
    <cellStyle name="Normal 2 20 22" xfId="433"/>
    <cellStyle name="Normal 2 20 23" xfId="434"/>
    <cellStyle name="Normal 2 20 3" xfId="435"/>
    <cellStyle name="Normal 2 20 4" xfId="436"/>
    <cellStyle name="Normal 2 20 5" xfId="437"/>
    <cellStyle name="Normal 2 20 6" xfId="438"/>
    <cellStyle name="Normal 2 20 7" xfId="439"/>
    <cellStyle name="Normal 2 20 8" xfId="440"/>
    <cellStyle name="Normal 2 20 9" xfId="441"/>
    <cellStyle name="Normal 2 21" xfId="442"/>
    <cellStyle name="Normal 2 21 10" xfId="443"/>
    <cellStyle name="Normal 2 21 11" xfId="444"/>
    <cellStyle name="Normal 2 21 12" xfId="445"/>
    <cellStyle name="Normal 2 21 13" xfId="446"/>
    <cellStyle name="Normal 2 21 14" xfId="447"/>
    <cellStyle name="Normal 2 21 15" xfId="448"/>
    <cellStyle name="Normal 2 21 16" xfId="449"/>
    <cellStyle name="Normal 2 21 17" xfId="450"/>
    <cellStyle name="Normal 2 21 18" xfId="451"/>
    <cellStyle name="Normal 2 21 19" xfId="452"/>
    <cellStyle name="Normal 2 21 2" xfId="453"/>
    <cellStyle name="Normal 2 21 20" xfId="454"/>
    <cellStyle name="Normal 2 21 21" xfId="455"/>
    <cellStyle name="Normal 2 21 22" xfId="456"/>
    <cellStyle name="Normal 2 21 23" xfId="457"/>
    <cellStyle name="Normal 2 21 3" xfId="458"/>
    <cellStyle name="Normal 2 21 4" xfId="459"/>
    <cellStyle name="Normal 2 21 5" xfId="460"/>
    <cellStyle name="Normal 2 21 6" xfId="461"/>
    <cellStyle name="Normal 2 21 7" xfId="462"/>
    <cellStyle name="Normal 2 21 8" xfId="463"/>
    <cellStyle name="Normal 2 21 9" xfId="464"/>
    <cellStyle name="Normal 2 22" xfId="465"/>
    <cellStyle name="Normal 2 22 10" xfId="466"/>
    <cellStyle name="Normal 2 22 11" xfId="467"/>
    <cellStyle name="Normal 2 22 12" xfId="468"/>
    <cellStyle name="Normal 2 22 13" xfId="469"/>
    <cellStyle name="Normal 2 22 14" xfId="470"/>
    <cellStyle name="Normal 2 22 15" xfId="471"/>
    <cellStyle name="Normal 2 22 16" xfId="472"/>
    <cellStyle name="Normal 2 22 17" xfId="473"/>
    <cellStyle name="Normal 2 22 18" xfId="474"/>
    <cellStyle name="Normal 2 22 19" xfId="475"/>
    <cellStyle name="Normal 2 22 2" xfId="476"/>
    <cellStyle name="Normal 2 22 20" xfId="477"/>
    <cellStyle name="Normal 2 22 21" xfId="478"/>
    <cellStyle name="Normal 2 22 22" xfId="479"/>
    <cellStyle name="Normal 2 22 23" xfId="480"/>
    <cellStyle name="Normal 2 22 3" xfId="481"/>
    <cellStyle name="Normal 2 22 4" xfId="482"/>
    <cellStyle name="Normal 2 22 5" xfId="483"/>
    <cellStyle name="Normal 2 22 6" xfId="484"/>
    <cellStyle name="Normal 2 22 7" xfId="485"/>
    <cellStyle name="Normal 2 22 8" xfId="486"/>
    <cellStyle name="Normal 2 22 9" xfId="487"/>
    <cellStyle name="Normal 2 23" xfId="488"/>
    <cellStyle name="Normal 2 23 10" xfId="489"/>
    <cellStyle name="Normal 2 23 11" xfId="490"/>
    <cellStyle name="Normal 2 23 12" xfId="491"/>
    <cellStyle name="Normal 2 23 13" xfId="492"/>
    <cellStyle name="Normal 2 23 14" xfId="493"/>
    <cellStyle name="Normal 2 23 15" xfId="494"/>
    <cellStyle name="Normal 2 23 16" xfId="495"/>
    <cellStyle name="Normal 2 23 17" xfId="496"/>
    <cellStyle name="Normal 2 23 18" xfId="497"/>
    <cellStyle name="Normal 2 23 19" xfId="498"/>
    <cellStyle name="Normal 2 23 2" xfId="499"/>
    <cellStyle name="Normal 2 23 20" xfId="500"/>
    <cellStyle name="Normal 2 23 21" xfId="501"/>
    <cellStyle name="Normal 2 23 22" xfId="502"/>
    <cellStyle name="Normal 2 23 23" xfId="503"/>
    <cellStyle name="Normal 2 23 3" xfId="504"/>
    <cellStyle name="Normal 2 23 4" xfId="505"/>
    <cellStyle name="Normal 2 23 5" xfId="506"/>
    <cellStyle name="Normal 2 23 6" xfId="507"/>
    <cellStyle name="Normal 2 23 7" xfId="508"/>
    <cellStyle name="Normal 2 23 8" xfId="509"/>
    <cellStyle name="Normal 2 23 9" xfId="510"/>
    <cellStyle name="Normal 2 24" xfId="511"/>
    <cellStyle name="Normal 2 24 10" xfId="512"/>
    <cellStyle name="Normal 2 24 11" xfId="513"/>
    <cellStyle name="Normal 2 24 12" xfId="514"/>
    <cellStyle name="Normal 2 24 13" xfId="515"/>
    <cellStyle name="Normal 2 24 14" xfId="516"/>
    <cellStyle name="Normal 2 24 15" xfId="517"/>
    <cellStyle name="Normal 2 24 16" xfId="518"/>
    <cellStyle name="Normal 2 24 17" xfId="519"/>
    <cellStyle name="Normal 2 24 18" xfId="520"/>
    <cellStyle name="Normal 2 24 19" xfId="521"/>
    <cellStyle name="Normal 2 24 2" xfId="522"/>
    <cellStyle name="Normal 2 24 20" xfId="523"/>
    <cellStyle name="Normal 2 24 21" xfId="524"/>
    <cellStyle name="Normal 2 24 22" xfId="525"/>
    <cellStyle name="Normal 2 24 23" xfId="526"/>
    <cellStyle name="Normal 2 24 3" xfId="527"/>
    <cellStyle name="Normal 2 24 4" xfId="528"/>
    <cellStyle name="Normal 2 24 5" xfId="529"/>
    <cellStyle name="Normal 2 24 6" xfId="530"/>
    <cellStyle name="Normal 2 24 7" xfId="531"/>
    <cellStyle name="Normal 2 24 8" xfId="532"/>
    <cellStyle name="Normal 2 24 9" xfId="533"/>
    <cellStyle name="Normal 2 25" xfId="534"/>
    <cellStyle name="Normal 2 25 10" xfId="535"/>
    <cellStyle name="Normal 2 25 11" xfId="536"/>
    <cellStyle name="Normal 2 25 12" xfId="537"/>
    <cellStyle name="Normal 2 25 13" xfId="538"/>
    <cellStyle name="Normal 2 25 14" xfId="539"/>
    <cellStyle name="Normal 2 25 15" xfId="540"/>
    <cellStyle name="Normal 2 25 16" xfId="541"/>
    <cellStyle name="Normal 2 25 17" xfId="542"/>
    <cellStyle name="Normal 2 25 18" xfId="543"/>
    <cellStyle name="Normal 2 25 19" xfId="544"/>
    <cellStyle name="Normal 2 25 2" xfId="545"/>
    <cellStyle name="Normal 2 25 20" xfId="546"/>
    <cellStyle name="Normal 2 25 21" xfId="547"/>
    <cellStyle name="Normal 2 25 22" xfId="548"/>
    <cellStyle name="Normal 2 25 23" xfId="549"/>
    <cellStyle name="Normal 2 25 3" xfId="550"/>
    <cellStyle name="Normal 2 25 4" xfId="551"/>
    <cellStyle name="Normal 2 25 5" xfId="552"/>
    <cellStyle name="Normal 2 25 6" xfId="553"/>
    <cellStyle name="Normal 2 25 7" xfId="554"/>
    <cellStyle name="Normal 2 25 8" xfId="555"/>
    <cellStyle name="Normal 2 25 9" xfId="556"/>
    <cellStyle name="Normal 2 26" xfId="557"/>
    <cellStyle name="Normal 2 26 10" xfId="558"/>
    <cellStyle name="Normal 2 26 11" xfId="559"/>
    <cellStyle name="Normal 2 26 12" xfId="560"/>
    <cellStyle name="Normal 2 26 13" xfId="561"/>
    <cellStyle name="Normal 2 26 14" xfId="562"/>
    <cellStyle name="Normal 2 26 15" xfId="563"/>
    <cellStyle name="Normal 2 26 16" xfId="564"/>
    <cellStyle name="Normal 2 26 17" xfId="565"/>
    <cellStyle name="Normal 2 26 18" xfId="566"/>
    <cellStyle name="Normal 2 26 19" xfId="567"/>
    <cellStyle name="Normal 2 26 2" xfId="568"/>
    <cellStyle name="Normal 2 26 20" xfId="569"/>
    <cellStyle name="Normal 2 26 21" xfId="570"/>
    <cellStyle name="Normal 2 26 22" xfId="571"/>
    <cellStyle name="Normal 2 26 23" xfId="572"/>
    <cellStyle name="Normal 2 26 3" xfId="573"/>
    <cellStyle name="Normal 2 26 4" xfId="574"/>
    <cellStyle name="Normal 2 26 5" xfId="575"/>
    <cellStyle name="Normal 2 26 6" xfId="576"/>
    <cellStyle name="Normal 2 26 7" xfId="577"/>
    <cellStyle name="Normal 2 26 8" xfId="578"/>
    <cellStyle name="Normal 2 26 9" xfId="579"/>
    <cellStyle name="Normal 2 27" xfId="580"/>
    <cellStyle name="Normal 2 27 10" xfId="581"/>
    <cellStyle name="Normal 2 27 11" xfId="582"/>
    <cellStyle name="Normal 2 27 12" xfId="583"/>
    <cellStyle name="Normal 2 27 13" xfId="584"/>
    <cellStyle name="Normal 2 27 14" xfId="585"/>
    <cellStyle name="Normal 2 27 15" xfId="586"/>
    <cellStyle name="Normal 2 27 16" xfId="587"/>
    <cellStyle name="Normal 2 27 17" xfId="588"/>
    <cellStyle name="Normal 2 27 18" xfId="589"/>
    <cellStyle name="Normal 2 27 19" xfId="590"/>
    <cellStyle name="Normal 2 27 2" xfId="591"/>
    <cellStyle name="Normal 2 27 20" xfId="592"/>
    <cellStyle name="Normal 2 27 21" xfId="593"/>
    <cellStyle name="Normal 2 27 22" xfId="594"/>
    <cellStyle name="Normal 2 27 23" xfId="595"/>
    <cellStyle name="Normal 2 27 3" xfId="596"/>
    <cellStyle name="Normal 2 27 4" xfId="597"/>
    <cellStyle name="Normal 2 27 5" xfId="598"/>
    <cellStyle name="Normal 2 27 6" xfId="599"/>
    <cellStyle name="Normal 2 27 7" xfId="600"/>
    <cellStyle name="Normal 2 27 8" xfId="601"/>
    <cellStyle name="Normal 2 27 9" xfId="602"/>
    <cellStyle name="Normal 2 28" xfId="603"/>
    <cellStyle name="Normal 2 28 10" xfId="604"/>
    <cellStyle name="Normal 2 28 11" xfId="605"/>
    <cellStyle name="Normal 2 28 12" xfId="606"/>
    <cellStyle name="Normal 2 28 13" xfId="607"/>
    <cellStyle name="Normal 2 28 14" xfId="608"/>
    <cellStyle name="Normal 2 28 15" xfId="609"/>
    <cellStyle name="Normal 2 28 16" xfId="610"/>
    <cellStyle name="Normal 2 28 17" xfId="611"/>
    <cellStyle name="Normal 2 28 18" xfId="612"/>
    <cellStyle name="Normal 2 28 19" xfId="613"/>
    <cellStyle name="Normal 2 28 2" xfId="614"/>
    <cellStyle name="Normal 2 28 20" xfId="615"/>
    <cellStyle name="Normal 2 28 21" xfId="616"/>
    <cellStyle name="Normal 2 28 22" xfId="617"/>
    <cellStyle name="Normal 2 28 23" xfId="618"/>
    <cellStyle name="Normal 2 28 3" xfId="619"/>
    <cellStyle name="Normal 2 28 4" xfId="620"/>
    <cellStyle name="Normal 2 28 5" xfId="621"/>
    <cellStyle name="Normal 2 28 6" xfId="622"/>
    <cellStyle name="Normal 2 28 7" xfId="623"/>
    <cellStyle name="Normal 2 28 8" xfId="624"/>
    <cellStyle name="Normal 2 28 9" xfId="625"/>
    <cellStyle name="Normal 2 29" xfId="626"/>
    <cellStyle name="Normal 2 29 10" xfId="627"/>
    <cellStyle name="Normal 2 29 11" xfId="628"/>
    <cellStyle name="Normal 2 29 12" xfId="629"/>
    <cellStyle name="Normal 2 29 13" xfId="630"/>
    <cellStyle name="Normal 2 29 14" xfId="631"/>
    <cellStyle name="Normal 2 29 15" xfId="632"/>
    <cellStyle name="Normal 2 29 16" xfId="633"/>
    <cellStyle name="Normal 2 29 17" xfId="634"/>
    <cellStyle name="Normal 2 29 18" xfId="635"/>
    <cellStyle name="Normal 2 29 19" xfId="636"/>
    <cellStyle name="Normal 2 29 2" xfId="637"/>
    <cellStyle name="Normal 2 29 20" xfId="638"/>
    <cellStyle name="Normal 2 29 21" xfId="639"/>
    <cellStyle name="Normal 2 29 22" xfId="640"/>
    <cellStyle name="Normal 2 29 23" xfId="641"/>
    <cellStyle name="Normal 2 29 3" xfId="642"/>
    <cellStyle name="Normal 2 29 4" xfId="643"/>
    <cellStyle name="Normal 2 29 5" xfId="644"/>
    <cellStyle name="Normal 2 29 6" xfId="645"/>
    <cellStyle name="Normal 2 29 7" xfId="646"/>
    <cellStyle name="Normal 2 29 8" xfId="647"/>
    <cellStyle name="Normal 2 29 9" xfId="648"/>
    <cellStyle name="Normal 2 3" xfId="36"/>
    <cellStyle name="Normal 2 3 2" xfId="37"/>
    <cellStyle name="Normal 2 3 3" xfId="649"/>
    <cellStyle name="Normal 2 30" xfId="650"/>
    <cellStyle name="Normal 2 30 10" xfId="651"/>
    <cellStyle name="Normal 2 30 11" xfId="652"/>
    <cellStyle name="Normal 2 30 12" xfId="653"/>
    <cellStyle name="Normal 2 30 13" xfId="654"/>
    <cellStyle name="Normal 2 30 14" xfId="655"/>
    <cellStyle name="Normal 2 30 15" xfId="656"/>
    <cellStyle name="Normal 2 30 16" xfId="657"/>
    <cellStyle name="Normal 2 30 17" xfId="658"/>
    <cellStyle name="Normal 2 30 18" xfId="659"/>
    <cellStyle name="Normal 2 30 19" xfId="660"/>
    <cellStyle name="Normal 2 30 2" xfId="661"/>
    <cellStyle name="Normal 2 30 20" xfId="662"/>
    <cellStyle name="Normal 2 30 21" xfId="663"/>
    <cellStyle name="Normal 2 30 22" xfId="664"/>
    <cellStyle name="Normal 2 30 23" xfId="665"/>
    <cellStyle name="Normal 2 30 3" xfId="666"/>
    <cellStyle name="Normal 2 30 4" xfId="667"/>
    <cellStyle name="Normal 2 30 5" xfId="668"/>
    <cellStyle name="Normal 2 30 6" xfId="669"/>
    <cellStyle name="Normal 2 30 7" xfId="670"/>
    <cellStyle name="Normal 2 30 8" xfId="671"/>
    <cellStyle name="Normal 2 30 9" xfId="672"/>
    <cellStyle name="Normal 2 31" xfId="673"/>
    <cellStyle name="Normal 2 31 10" xfId="674"/>
    <cellStyle name="Normal 2 31 11" xfId="675"/>
    <cellStyle name="Normal 2 31 12" xfId="676"/>
    <cellStyle name="Normal 2 31 13" xfId="677"/>
    <cellStyle name="Normal 2 31 14" xfId="678"/>
    <cellStyle name="Normal 2 31 15" xfId="679"/>
    <cellStyle name="Normal 2 31 16" xfId="680"/>
    <cellStyle name="Normal 2 31 17" xfId="681"/>
    <cellStyle name="Normal 2 31 18" xfId="682"/>
    <cellStyle name="Normal 2 31 19" xfId="683"/>
    <cellStyle name="Normal 2 31 2" xfId="684"/>
    <cellStyle name="Normal 2 31 20" xfId="685"/>
    <cellStyle name="Normal 2 31 21" xfId="686"/>
    <cellStyle name="Normal 2 31 22" xfId="687"/>
    <cellStyle name="Normal 2 31 23" xfId="688"/>
    <cellStyle name="Normal 2 31 3" xfId="689"/>
    <cellStyle name="Normal 2 31 4" xfId="690"/>
    <cellStyle name="Normal 2 31 5" xfId="691"/>
    <cellStyle name="Normal 2 31 6" xfId="692"/>
    <cellStyle name="Normal 2 31 7" xfId="693"/>
    <cellStyle name="Normal 2 31 8" xfId="694"/>
    <cellStyle name="Normal 2 31 9" xfId="695"/>
    <cellStyle name="Normal 2 32" xfId="696"/>
    <cellStyle name="Normal 2 32 10" xfId="697"/>
    <cellStyle name="Normal 2 32 11" xfId="698"/>
    <cellStyle name="Normal 2 32 12" xfId="699"/>
    <cellStyle name="Normal 2 32 13" xfId="700"/>
    <cellStyle name="Normal 2 32 14" xfId="701"/>
    <cellStyle name="Normal 2 32 15" xfId="702"/>
    <cellStyle name="Normal 2 32 16" xfId="703"/>
    <cellStyle name="Normal 2 32 17" xfId="704"/>
    <cellStyle name="Normal 2 32 18" xfId="705"/>
    <cellStyle name="Normal 2 32 19" xfId="706"/>
    <cellStyle name="Normal 2 32 2" xfId="707"/>
    <cellStyle name="Normal 2 32 20" xfId="708"/>
    <cellStyle name="Normal 2 32 21" xfId="709"/>
    <cellStyle name="Normal 2 32 22" xfId="710"/>
    <cellStyle name="Normal 2 32 23" xfId="711"/>
    <cellStyle name="Normal 2 32 3" xfId="712"/>
    <cellStyle name="Normal 2 32 4" xfId="713"/>
    <cellStyle name="Normal 2 32 5" xfId="714"/>
    <cellStyle name="Normal 2 32 6" xfId="715"/>
    <cellStyle name="Normal 2 32 7" xfId="716"/>
    <cellStyle name="Normal 2 32 8" xfId="717"/>
    <cellStyle name="Normal 2 32 9" xfId="718"/>
    <cellStyle name="Normal 2 33" xfId="719"/>
    <cellStyle name="Normal 2 33 10" xfId="720"/>
    <cellStyle name="Normal 2 33 11" xfId="721"/>
    <cellStyle name="Normal 2 33 12" xfId="722"/>
    <cellStyle name="Normal 2 33 13" xfId="723"/>
    <cellStyle name="Normal 2 33 14" xfId="724"/>
    <cellStyle name="Normal 2 33 15" xfId="725"/>
    <cellStyle name="Normal 2 33 16" xfId="726"/>
    <cellStyle name="Normal 2 33 17" xfId="727"/>
    <cellStyle name="Normal 2 33 18" xfId="728"/>
    <cellStyle name="Normal 2 33 19" xfId="729"/>
    <cellStyle name="Normal 2 33 2" xfId="730"/>
    <cellStyle name="Normal 2 33 20" xfId="731"/>
    <cellStyle name="Normal 2 33 21" xfId="732"/>
    <cellStyle name="Normal 2 33 22" xfId="733"/>
    <cellStyle name="Normal 2 33 23" xfId="734"/>
    <cellStyle name="Normal 2 33 3" xfId="735"/>
    <cellStyle name="Normal 2 33 4" xfId="736"/>
    <cellStyle name="Normal 2 33 5" xfId="737"/>
    <cellStyle name="Normal 2 33 6" xfId="738"/>
    <cellStyle name="Normal 2 33 7" xfId="739"/>
    <cellStyle name="Normal 2 33 8" xfId="740"/>
    <cellStyle name="Normal 2 33 9" xfId="741"/>
    <cellStyle name="Normal 2 34" xfId="742"/>
    <cellStyle name="Normal 2 34 10" xfId="743"/>
    <cellStyle name="Normal 2 34 11" xfId="744"/>
    <cellStyle name="Normal 2 34 12" xfId="745"/>
    <cellStyle name="Normal 2 34 13" xfId="746"/>
    <cellStyle name="Normal 2 34 14" xfId="747"/>
    <cellStyle name="Normal 2 34 15" xfId="748"/>
    <cellStyle name="Normal 2 34 16" xfId="749"/>
    <cellStyle name="Normal 2 34 17" xfId="750"/>
    <cellStyle name="Normal 2 34 18" xfId="751"/>
    <cellStyle name="Normal 2 34 19" xfId="752"/>
    <cellStyle name="Normal 2 34 2" xfId="753"/>
    <cellStyle name="Normal 2 34 20" xfId="754"/>
    <cellStyle name="Normal 2 34 21" xfId="755"/>
    <cellStyle name="Normal 2 34 22" xfId="756"/>
    <cellStyle name="Normal 2 34 23" xfId="757"/>
    <cellStyle name="Normal 2 34 3" xfId="758"/>
    <cellStyle name="Normal 2 34 4" xfId="759"/>
    <cellStyle name="Normal 2 34 5" xfId="760"/>
    <cellStyle name="Normal 2 34 6" xfId="761"/>
    <cellStyle name="Normal 2 34 7" xfId="762"/>
    <cellStyle name="Normal 2 34 8" xfId="763"/>
    <cellStyle name="Normal 2 34 9" xfId="764"/>
    <cellStyle name="Normal 2 35" xfId="765"/>
    <cellStyle name="Normal 2 35 10" xfId="766"/>
    <cellStyle name="Normal 2 35 11" xfId="767"/>
    <cellStyle name="Normal 2 35 12" xfId="768"/>
    <cellStyle name="Normal 2 35 13" xfId="769"/>
    <cellStyle name="Normal 2 35 14" xfId="770"/>
    <cellStyle name="Normal 2 35 15" xfId="771"/>
    <cellStyle name="Normal 2 35 16" xfId="772"/>
    <cellStyle name="Normal 2 35 17" xfId="773"/>
    <cellStyle name="Normal 2 35 18" xfId="774"/>
    <cellStyle name="Normal 2 35 19" xfId="775"/>
    <cellStyle name="Normal 2 35 2" xfId="776"/>
    <cellStyle name="Normal 2 35 20" xfId="777"/>
    <cellStyle name="Normal 2 35 21" xfId="778"/>
    <cellStyle name="Normal 2 35 22" xfId="779"/>
    <cellStyle name="Normal 2 35 23" xfId="780"/>
    <cellStyle name="Normal 2 35 3" xfId="781"/>
    <cellStyle name="Normal 2 35 4" xfId="782"/>
    <cellStyle name="Normal 2 35 5" xfId="783"/>
    <cellStyle name="Normal 2 35 6" xfId="784"/>
    <cellStyle name="Normal 2 35 7" xfId="785"/>
    <cellStyle name="Normal 2 35 8" xfId="786"/>
    <cellStyle name="Normal 2 35 9" xfId="787"/>
    <cellStyle name="Normal 2 36" xfId="788"/>
    <cellStyle name="Normal 2 36 10" xfId="789"/>
    <cellStyle name="Normal 2 36 11" xfId="790"/>
    <cellStyle name="Normal 2 36 12" xfId="791"/>
    <cellStyle name="Normal 2 36 13" xfId="792"/>
    <cellStyle name="Normal 2 36 14" xfId="793"/>
    <cellStyle name="Normal 2 36 15" xfId="794"/>
    <cellStyle name="Normal 2 36 16" xfId="795"/>
    <cellStyle name="Normal 2 36 17" xfId="796"/>
    <cellStyle name="Normal 2 36 18" xfId="797"/>
    <cellStyle name="Normal 2 36 19" xfId="798"/>
    <cellStyle name="Normal 2 36 2" xfId="799"/>
    <cellStyle name="Normal 2 36 20" xfId="800"/>
    <cellStyle name="Normal 2 36 21" xfId="801"/>
    <cellStyle name="Normal 2 36 22" xfId="802"/>
    <cellStyle name="Normal 2 36 23" xfId="803"/>
    <cellStyle name="Normal 2 36 3" xfId="804"/>
    <cellStyle name="Normal 2 36 4" xfId="805"/>
    <cellStyle name="Normal 2 36 5" xfId="806"/>
    <cellStyle name="Normal 2 36 6" xfId="807"/>
    <cellStyle name="Normal 2 36 7" xfId="808"/>
    <cellStyle name="Normal 2 36 8" xfId="809"/>
    <cellStyle name="Normal 2 36 9" xfId="810"/>
    <cellStyle name="Normal 2 37" xfId="811"/>
    <cellStyle name="Normal 2 37 10" xfId="812"/>
    <cellStyle name="Normal 2 37 11" xfId="813"/>
    <cellStyle name="Normal 2 37 12" xfId="814"/>
    <cellStyle name="Normal 2 37 13" xfId="815"/>
    <cellStyle name="Normal 2 37 14" xfId="816"/>
    <cellStyle name="Normal 2 37 15" xfId="817"/>
    <cellStyle name="Normal 2 37 16" xfId="818"/>
    <cellStyle name="Normal 2 37 17" xfId="819"/>
    <cellStyle name="Normal 2 37 18" xfId="820"/>
    <cellStyle name="Normal 2 37 19" xfId="821"/>
    <cellStyle name="Normal 2 37 2" xfId="822"/>
    <cellStyle name="Normal 2 37 20" xfId="823"/>
    <cellStyle name="Normal 2 37 21" xfId="824"/>
    <cellStyle name="Normal 2 37 22" xfId="825"/>
    <cellStyle name="Normal 2 37 23" xfId="826"/>
    <cellStyle name="Normal 2 37 3" xfId="827"/>
    <cellStyle name="Normal 2 37 4" xfId="828"/>
    <cellStyle name="Normal 2 37 5" xfId="829"/>
    <cellStyle name="Normal 2 37 6" xfId="830"/>
    <cellStyle name="Normal 2 37 7" xfId="831"/>
    <cellStyle name="Normal 2 37 8" xfId="832"/>
    <cellStyle name="Normal 2 37 9" xfId="833"/>
    <cellStyle name="Normal 2 38" xfId="834"/>
    <cellStyle name="Normal 2 38 10" xfId="835"/>
    <cellStyle name="Normal 2 38 11" xfId="836"/>
    <cellStyle name="Normal 2 38 12" xfId="837"/>
    <cellStyle name="Normal 2 38 13" xfId="838"/>
    <cellStyle name="Normal 2 38 14" xfId="839"/>
    <cellStyle name="Normal 2 38 15" xfId="840"/>
    <cellStyle name="Normal 2 38 16" xfId="841"/>
    <cellStyle name="Normal 2 38 17" xfId="842"/>
    <cellStyle name="Normal 2 38 18" xfId="843"/>
    <cellStyle name="Normal 2 38 19" xfId="844"/>
    <cellStyle name="Normal 2 38 2" xfId="845"/>
    <cellStyle name="Normal 2 38 20" xfId="846"/>
    <cellStyle name="Normal 2 38 21" xfId="847"/>
    <cellStyle name="Normal 2 38 22" xfId="848"/>
    <cellStyle name="Normal 2 38 23" xfId="849"/>
    <cellStyle name="Normal 2 38 3" xfId="850"/>
    <cellStyle name="Normal 2 38 4" xfId="851"/>
    <cellStyle name="Normal 2 38 5" xfId="852"/>
    <cellStyle name="Normal 2 38 6" xfId="853"/>
    <cellStyle name="Normal 2 38 7" xfId="854"/>
    <cellStyle name="Normal 2 38 8" xfId="855"/>
    <cellStyle name="Normal 2 38 9" xfId="856"/>
    <cellStyle name="Normal 2 39" xfId="857"/>
    <cellStyle name="Normal 2 39 10" xfId="858"/>
    <cellStyle name="Normal 2 39 11" xfId="859"/>
    <cellStyle name="Normal 2 39 12" xfId="860"/>
    <cellStyle name="Normal 2 39 13" xfId="861"/>
    <cellStyle name="Normal 2 39 14" xfId="862"/>
    <cellStyle name="Normal 2 39 15" xfId="863"/>
    <cellStyle name="Normal 2 39 16" xfId="864"/>
    <cellStyle name="Normal 2 39 17" xfId="865"/>
    <cellStyle name="Normal 2 39 18" xfId="866"/>
    <cellStyle name="Normal 2 39 19" xfId="867"/>
    <cellStyle name="Normal 2 39 2" xfId="868"/>
    <cellStyle name="Normal 2 39 20" xfId="869"/>
    <cellStyle name="Normal 2 39 21" xfId="870"/>
    <cellStyle name="Normal 2 39 22" xfId="871"/>
    <cellStyle name="Normal 2 39 23" xfId="872"/>
    <cellStyle name="Normal 2 39 3" xfId="873"/>
    <cellStyle name="Normal 2 39 4" xfId="874"/>
    <cellStyle name="Normal 2 39 5" xfId="875"/>
    <cellStyle name="Normal 2 39 6" xfId="876"/>
    <cellStyle name="Normal 2 39 7" xfId="877"/>
    <cellStyle name="Normal 2 39 8" xfId="878"/>
    <cellStyle name="Normal 2 39 9" xfId="879"/>
    <cellStyle name="Normal 2 4" xfId="38"/>
    <cellStyle name="Normal 2 4 2" xfId="105"/>
    <cellStyle name="Normal 2 4 3" xfId="880"/>
    <cellStyle name="Normal 2 40" xfId="881"/>
    <cellStyle name="Normal 2 41" xfId="882"/>
    <cellStyle name="Normal 2 42" xfId="883"/>
    <cellStyle name="Normal 2 43" xfId="884"/>
    <cellStyle name="Normal 2 44" xfId="885"/>
    <cellStyle name="Normal 2 45" xfId="886"/>
    <cellStyle name="Normal 2 46" xfId="887"/>
    <cellStyle name="Normal 2 47" xfId="888"/>
    <cellStyle name="Normal 2 48" xfId="889"/>
    <cellStyle name="Normal 2 49" xfId="890"/>
    <cellStyle name="Normal 2 5" xfId="39"/>
    <cellStyle name="Normal 2 5 10" xfId="892"/>
    <cellStyle name="Normal 2 5 11" xfId="893"/>
    <cellStyle name="Normal 2 5 12" xfId="894"/>
    <cellStyle name="Normal 2 5 13" xfId="895"/>
    <cellStyle name="Normal 2 5 14" xfId="896"/>
    <cellStyle name="Normal 2 5 15" xfId="897"/>
    <cellStyle name="Normal 2 5 16" xfId="898"/>
    <cellStyle name="Normal 2 5 17" xfId="899"/>
    <cellStyle name="Normal 2 5 18" xfId="900"/>
    <cellStyle name="Normal 2 5 19" xfId="901"/>
    <cellStyle name="Normal 2 5 2" xfId="902"/>
    <cellStyle name="Normal 2 5 2 10" xfId="903"/>
    <cellStyle name="Normal 2 5 2 11" xfId="904"/>
    <cellStyle name="Normal 2 5 2 12" xfId="905"/>
    <cellStyle name="Normal 2 5 2 13" xfId="906"/>
    <cellStyle name="Normal 2 5 2 14" xfId="907"/>
    <cellStyle name="Normal 2 5 2 15" xfId="908"/>
    <cellStyle name="Normal 2 5 2 16" xfId="909"/>
    <cellStyle name="Normal 2 5 2 17" xfId="910"/>
    <cellStyle name="Normal 2 5 2 18" xfId="911"/>
    <cellStyle name="Normal 2 5 2 19" xfId="912"/>
    <cellStyle name="Normal 2 5 2 2" xfId="913"/>
    <cellStyle name="Normal 2 5 2 2 10" xfId="914"/>
    <cellStyle name="Normal 2 5 2 2 11" xfId="915"/>
    <cellStyle name="Normal 2 5 2 2 12" xfId="916"/>
    <cellStyle name="Normal 2 5 2 2 13" xfId="917"/>
    <cellStyle name="Normal 2 5 2 2 14" xfId="918"/>
    <cellStyle name="Normal 2 5 2 2 15" xfId="919"/>
    <cellStyle name="Normal 2 5 2 2 16" xfId="920"/>
    <cellStyle name="Normal 2 5 2 2 17" xfId="921"/>
    <cellStyle name="Normal 2 5 2 2 18" xfId="922"/>
    <cellStyle name="Normal 2 5 2 2 19" xfId="923"/>
    <cellStyle name="Normal 2 5 2 2 2" xfId="924"/>
    <cellStyle name="Normal 2 5 2 2 20" xfId="925"/>
    <cellStyle name="Normal 2 5 2 2 21" xfId="926"/>
    <cellStyle name="Normal 2 5 2 2 22" xfId="927"/>
    <cellStyle name="Normal 2 5 2 2 23" xfId="928"/>
    <cellStyle name="Normal 2 5 2 2 24" xfId="929"/>
    <cellStyle name="Normal 2 5 2 2 25" xfId="930"/>
    <cellStyle name="Normal 2 5 2 2 26" xfId="931"/>
    <cellStyle name="Normal 2 5 2 2 27" xfId="932"/>
    <cellStyle name="Normal 2 5 2 2 28" xfId="933"/>
    <cellStyle name="Normal 2 5 2 2 29" xfId="934"/>
    <cellStyle name="Normal 2 5 2 2 3" xfId="935"/>
    <cellStyle name="Normal 2 5 2 2 30" xfId="936"/>
    <cellStyle name="Normal 2 5 2 2 31" xfId="937"/>
    <cellStyle name="Normal 2 5 2 2 32" xfId="938"/>
    <cellStyle name="Normal 2 5 2 2 33" xfId="939"/>
    <cellStyle name="Normal 2 5 2 2 34" xfId="940"/>
    <cellStyle name="Normal 2 5 2 2 35" xfId="941"/>
    <cellStyle name="Normal 2 5 2 2 36" xfId="942"/>
    <cellStyle name="Normal 2 5 2 2 37" xfId="943"/>
    <cellStyle name="Normal 2 5 2 2 38" xfId="944"/>
    <cellStyle name="Normal 2 5 2 2 39" xfId="945"/>
    <cellStyle name="Normal 2 5 2 2 4" xfId="946"/>
    <cellStyle name="Normal 2 5 2 2 40" xfId="947"/>
    <cellStyle name="Normal 2 5 2 2 41" xfId="948"/>
    <cellStyle name="Normal 2 5 2 2 42" xfId="949"/>
    <cellStyle name="Normal 2 5 2 2 43" xfId="950"/>
    <cellStyle name="Normal 2 5 2 2 44" xfId="951"/>
    <cellStyle name="Normal 2 5 2 2 45" xfId="952"/>
    <cellStyle name="Normal 2 5 2 2 46" xfId="953"/>
    <cellStyle name="Normal 2 5 2 2 47" xfId="954"/>
    <cellStyle name="Normal 2 5 2 2 48" xfId="955"/>
    <cellStyle name="Normal 2 5 2 2 49" xfId="956"/>
    <cellStyle name="Normal 2 5 2 2 5" xfId="957"/>
    <cellStyle name="Normal 2 5 2 2 50" xfId="958"/>
    <cellStyle name="Normal 2 5 2 2 51" xfId="959"/>
    <cellStyle name="Normal 2 5 2 2 52" xfId="960"/>
    <cellStyle name="Normal 2 5 2 2 53" xfId="961"/>
    <cellStyle name="Normal 2 5 2 2 54" xfId="962"/>
    <cellStyle name="Normal 2 5 2 2 55" xfId="963"/>
    <cellStyle name="Normal 2 5 2 2 6" xfId="964"/>
    <cellStyle name="Normal 2 5 2 2 7" xfId="965"/>
    <cellStyle name="Normal 2 5 2 2 8" xfId="966"/>
    <cellStyle name="Normal 2 5 2 2 9" xfId="967"/>
    <cellStyle name="Normal 2 5 2 20" xfId="968"/>
    <cellStyle name="Normal 2 5 2 21" xfId="969"/>
    <cellStyle name="Normal 2 5 2 22" xfId="970"/>
    <cellStyle name="Normal 2 5 2 23" xfId="971"/>
    <cellStyle name="Normal 2 5 2 24" xfId="972"/>
    <cellStyle name="Normal 2 5 2 25" xfId="973"/>
    <cellStyle name="Normal 2 5 2 26" xfId="974"/>
    <cellStyle name="Normal 2 5 2 27" xfId="975"/>
    <cellStyle name="Normal 2 5 2 28" xfId="976"/>
    <cellStyle name="Normal 2 5 2 29" xfId="977"/>
    <cellStyle name="Normal 2 5 2 3" xfId="978"/>
    <cellStyle name="Normal 2 5 2 30" xfId="979"/>
    <cellStyle name="Normal 2 5 2 31" xfId="980"/>
    <cellStyle name="Normal 2 5 2 32" xfId="981"/>
    <cellStyle name="Normal 2 5 2 33" xfId="982"/>
    <cellStyle name="Normal 2 5 2 4" xfId="983"/>
    <cellStyle name="Normal 2 5 2 5" xfId="984"/>
    <cellStyle name="Normal 2 5 2 6" xfId="985"/>
    <cellStyle name="Normal 2 5 2 7" xfId="986"/>
    <cellStyle name="Normal 2 5 2 8" xfId="987"/>
    <cellStyle name="Normal 2 5 2 9" xfId="988"/>
    <cellStyle name="Normal 2 5 20" xfId="989"/>
    <cellStyle name="Normal 2 5 21" xfId="990"/>
    <cellStyle name="Normal 2 5 22" xfId="991"/>
    <cellStyle name="Normal 2 5 23" xfId="992"/>
    <cellStyle name="Normal 2 5 24" xfId="993"/>
    <cellStyle name="Normal 2 5 25" xfId="994"/>
    <cellStyle name="Normal 2 5 26" xfId="995"/>
    <cellStyle name="Normal 2 5 27" xfId="996"/>
    <cellStyle name="Normal 2 5 28" xfId="997"/>
    <cellStyle name="Normal 2 5 29" xfId="998"/>
    <cellStyle name="Normal 2 5 3" xfId="999"/>
    <cellStyle name="Normal 2 5 30" xfId="1000"/>
    <cellStyle name="Normal 2 5 31" xfId="1001"/>
    <cellStyle name="Normal 2 5 32" xfId="1002"/>
    <cellStyle name="Normal 2 5 33" xfId="1003"/>
    <cellStyle name="Normal 2 5 34" xfId="1004"/>
    <cellStyle name="Normal 2 5 35" xfId="1005"/>
    <cellStyle name="Normal 2 5 36" xfId="1006"/>
    <cellStyle name="Normal 2 5 37" xfId="1007"/>
    <cellStyle name="Normal 2 5 38" xfId="1008"/>
    <cellStyle name="Normal 2 5 39" xfId="1009"/>
    <cellStyle name="Normal 2 5 4" xfId="1010"/>
    <cellStyle name="Normal 2 5 40" xfId="1011"/>
    <cellStyle name="Normal 2 5 41" xfId="1012"/>
    <cellStyle name="Normal 2 5 42" xfId="1013"/>
    <cellStyle name="Normal 2 5 43" xfId="1014"/>
    <cellStyle name="Normal 2 5 44" xfId="1015"/>
    <cellStyle name="Normal 2 5 45" xfId="1016"/>
    <cellStyle name="Normal 2 5 46" xfId="1017"/>
    <cellStyle name="Normal 2 5 47" xfId="1018"/>
    <cellStyle name="Normal 2 5 48" xfId="1019"/>
    <cellStyle name="Normal 2 5 49" xfId="1020"/>
    <cellStyle name="Normal 2 5 5" xfId="1021"/>
    <cellStyle name="Normal 2 5 50" xfId="1022"/>
    <cellStyle name="Normal 2 5 51" xfId="1023"/>
    <cellStyle name="Normal 2 5 52" xfId="1024"/>
    <cellStyle name="Normal 2 5 53" xfId="1025"/>
    <cellStyle name="Normal 2 5 54" xfId="1026"/>
    <cellStyle name="Normal 2 5 55" xfId="1027"/>
    <cellStyle name="Normal 2 5 56" xfId="1028"/>
    <cellStyle name="Normal 2 5 57" xfId="1029"/>
    <cellStyle name="Normal 2 5 58" xfId="1030"/>
    <cellStyle name="Normal 2 5 59" xfId="1031"/>
    <cellStyle name="Normal 2 5 6" xfId="1032"/>
    <cellStyle name="Normal 2 5 60" xfId="1033"/>
    <cellStyle name="Normal 2 5 61" xfId="1034"/>
    <cellStyle name="Normal 2 5 62" xfId="1035"/>
    <cellStyle name="Normal 2 5 63" xfId="1036"/>
    <cellStyle name="Normal 2 5 64" xfId="1037"/>
    <cellStyle name="Normal 2 5 65" xfId="1038"/>
    <cellStyle name="Normal 2 5 66" xfId="1039"/>
    <cellStyle name="Normal 2 5 67" xfId="1040"/>
    <cellStyle name="Normal 2 5 68" xfId="1041"/>
    <cellStyle name="Normal 2 5 69" xfId="1042"/>
    <cellStyle name="Normal 2 5 7" xfId="1043"/>
    <cellStyle name="Normal 2 5 70" xfId="1044"/>
    <cellStyle name="Normal 2 5 71" xfId="1045"/>
    <cellStyle name="Normal 2 5 72" xfId="1046"/>
    <cellStyle name="Normal 2 5 73" xfId="1047"/>
    <cellStyle name="Normal 2 5 74" xfId="1048"/>
    <cellStyle name="Normal 2 5 75" xfId="1049"/>
    <cellStyle name="Normal 2 5 76" xfId="1050"/>
    <cellStyle name="Normal 2 5 77" xfId="1051"/>
    <cellStyle name="Normal 2 5 78" xfId="1052"/>
    <cellStyle name="Normal 2 5 79" xfId="1053"/>
    <cellStyle name="Normal 2 5 8" xfId="1054"/>
    <cellStyle name="Normal 2 5 80" xfId="1055"/>
    <cellStyle name="Normal 2 5 81" xfId="1056"/>
    <cellStyle name="Normal 2 5 82" xfId="1057"/>
    <cellStyle name="Normal 2 5 83" xfId="1058"/>
    <cellStyle name="Normal 2 5 84" xfId="1059"/>
    <cellStyle name="Normal 2 5 85" xfId="1060"/>
    <cellStyle name="Normal 2 5 86" xfId="1061"/>
    <cellStyle name="Normal 2 5 87" xfId="1062"/>
    <cellStyle name="Normal 2 5 88" xfId="891"/>
    <cellStyle name="Normal 2 5 9" xfId="1063"/>
    <cellStyle name="Normal 2 5_DEER 032008 Cost Summary Delivery - Rev 4 (2)" xfId="1064"/>
    <cellStyle name="Normal 2 50" xfId="1065"/>
    <cellStyle name="Normal 2 51" xfId="1066"/>
    <cellStyle name="Normal 2 52" xfId="1067"/>
    <cellStyle name="Normal 2 53" xfId="1068"/>
    <cellStyle name="Normal 2 54" xfId="1069"/>
    <cellStyle name="Normal 2 55" xfId="1070"/>
    <cellStyle name="Normal 2 56" xfId="1071"/>
    <cellStyle name="Normal 2 57" xfId="1072"/>
    <cellStyle name="Normal 2 58" xfId="1073"/>
    <cellStyle name="Normal 2 59" xfId="1074"/>
    <cellStyle name="Normal 2 6" xfId="106"/>
    <cellStyle name="Normal 2 6 2" xfId="1075"/>
    <cellStyle name="Normal 2 60" xfId="1076"/>
    <cellStyle name="Normal 2 61" xfId="1077"/>
    <cellStyle name="Normal 2 62" xfId="1078"/>
    <cellStyle name="Normal 2 63" xfId="1079"/>
    <cellStyle name="Normal 2 64" xfId="1080"/>
    <cellStyle name="Normal 2 65" xfId="1081"/>
    <cellStyle name="Normal 2 66" xfId="1082"/>
    <cellStyle name="Normal 2 67" xfId="1083"/>
    <cellStyle name="Normal 2 68" xfId="1084"/>
    <cellStyle name="Normal 2 69" xfId="1085"/>
    <cellStyle name="Normal 2 7" xfId="1086"/>
    <cellStyle name="Normal 2 70" xfId="1087"/>
    <cellStyle name="Normal 2 71" xfId="1088"/>
    <cellStyle name="Normal 2 72" xfId="1089"/>
    <cellStyle name="Normal 2 73" xfId="1090"/>
    <cellStyle name="Normal 2 74" xfId="1091"/>
    <cellStyle name="Normal 2 75" xfId="1092"/>
    <cellStyle name="Normal 2 76" xfId="1093"/>
    <cellStyle name="Normal 2 77" xfId="1094"/>
    <cellStyle name="Normal 2 78" xfId="1095"/>
    <cellStyle name="Normal 2 79" xfId="1096"/>
    <cellStyle name="Normal 2 8" xfId="1097"/>
    <cellStyle name="Normal 2 8 10" xfId="1098"/>
    <cellStyle name="Normal 2 8 11" xfId="1099"/>
    <cellStyle name="Normal 2 8 12" xfId="1100"/>
    <cellStyle name="Normal 2 8 13" xfId="1101"/>
    <cellStyle name="Normal 2 8 14" xfId="1102"/>
    <cellStyle name="Normal 2 8 15" xfId="1103"/>
    <cellStyle name="Normal 2 8 16" xfId="1104"/>
    <cellStyle name="Normal 2 8 17" xfId="1105"/>
    <cellStyle name="Normal 2 8 18" xfId="1106"/>
    <cellStyle name="Normal 2 8 19" xfId="1107"/>
    <cellStyle name="Normal 2 8 2" xfId="1108"/>
    <cellStyle name="Normal 2 8 20" xfId="1109"/>
    <cellStyle name="Normal 2 8 21" xfId="1110"/>
    <cellStyle name="Normal 2 8 22" xfId="1111"/>
    <cellStyle name="Normal 2 8 23" xfId="1112"/>
    <cellStyle name="Normal 2 8 3" xfId="1113"/>
    <cellStyle name="Normal 2 8 4" xfId="1114"/>
    <cellStyle name="Normal 2 8 5" xfId="1115"/>
    <cellStyle name="Normal 2 8 6" xfId="1116"/>
    <cellStyle name="Normal 2 8 7" xfId="1117"/>
    <cellStyle name="Normal 2 8 8" xfId="1118"/>
    <cellStyle name="Normal 2 8 9" xfId="1119"/>
    <cellStyle name="Normal 2 80" xfId="1120"/>
    <cellStyle name="Normal 2 81" xfId="1121"/>
    <cellStyle name="Normal 2 82" xfId="1122"/>
    <cellStyle name="Normal 2 83" xfId="1123"/>
    <cellStyle name="Normal 2 84" xfId="1124"/>
    <cellStyle name="Normal 2 85" xfId="1125"/>
    <cellStyle name="Normal 2 86" xfId="1126"/>
    <cellStyle name="Normal 2 87" xfId="1127"/>
    <cellStyle name="Normal 2 88" xfId="1128"/>
    <cellStyle name="Normal 2 89" xfId="1129"/>
    <cellStyle name="Normal 2 9" xfId="1130"/>
    <cellStyle name="Normal 2 9 10" xfId="1131"/>
    <cellStyle name="Normal 2 9 11" xfId="1132"/>
    <cellStyle name="Normal 2 9 12" xfId="1133"/>
    <cellStyle name="Normal 2 9 13" xfId="1134"/>
    <cellStyle name="Normal 2 9 14" xfId="1135"/>
    <cellStyle name="Normal 2 9 15" xfId="1136"/>
    <cellStyle name="Normal 2 9 16" xfId="1137"/>
    <cellStyle name="Normal 2 9 17" xfId="1138"/>
    <cellStyle name="Normal 2 9 18" xfId="1139"/>
    <cellStyle name="Normal 2 9 19" xfId="1140"/>
    <cellStyle name="Normal 2 9 2" xfId="1141"/>
    <cellStyle name="Normal 2 9 20" xfId="1142"/>
    <cellStyle name="Normal 2 9 21" xfId="1143"/>
    <cellStyle name="Normal 2 9 22" xfId="1144"/>
    <cellStyle name="Normal 2 9 23" xfId="1145"/>
    <cellStyle name="Normal 2 9 3" xfId="1146"/>
    <cellStyle name="Normal 2 9 4" xfId="1147"/>
    <cellStyle name="Normal 2 9 5" xfId="1148"/>
    <cellStyle name="Normal 2 9 6" xfId="1149"/>
    <cellStyle name="Normal 2 9 7" xfId="1150"/>
    <cellStyle name="Normal 2 9 8" xfId="1151"/>
    <cellStyle name="Normal 2 9 9" xfId="1152"/>
    <cellStyle name="Normal 2 90" xfId="1153"/>
    <cellStyle name="Normal 2 91" xfId="1154"/>
    <cellStyle name="Normal 2 92" xfId="1155"/>
    <cellStyle name="Normal 2 93" xfId="1156"/>
    <cellStyle name="Normal 2 94" xfId="1157"/>
    <cellStyle name="Normal 2 95" xfId="1158"/>
    <cellStyle name="Normal 2 96" xfId="1159"/>
    <cellStyle name="Normal 2 96 2" xfId="1160"/>
    <cellStyle name="Normal 2 96 2 2" xfId="2097"/>
    <cellStyle name="Normal 2 97" xfId="1161"/>
    <cellStyle name="Normal 2 97 2" xfId="1162"/>
    <cellStyle name="Normal 2 97 2 2" xfId="2098"/>
    <cellStyle name="Normal 2 98" xfId="1163"/>
    <cellStyle name="Normal 2 98 2" xfId="1164"/>
    <cellStyle name="Normal 2 98 2 2" xfId="2099"/>
    <cellStyle name="Normal 2_DEER 032008 Cost Summary Delivery - Rev 4 (2)" xfId="1165"/>
    <cellStyle name="Normal 3" xfId="19"/>
    <cellStyle name="Normal 3 10" xfId="1166"/>
    <cellStyle name="Normal 3 10 10" xfId="1167"/>
    <cellStyle name="Normal 3 10 11" xfId="1168"/>
    <cellStyle name="Normal 3 10 12" xfId="1169"/>
    <cellStyle name="Normal 3 10 13" xfId="1170"/>
    <cellStyle name="Normal 3 10 14" xfId="1171"/>
    <cellStyle name="Normal 3 10 15" xfId="1172"/>
    <cellStyle name="Normal 3 10 16" xfId="1173"/>
    <cellStyle name="Normal 3 10 17" xfId="1174"/>
    <cellStyle name="Normal 3 10 18" xfId="1175"/>
    <cellStyle name="Normal 3 10 19" xfId="1176"/>
    <cellStyle name="Normal 3 10 2" xfId="1177"/>
    <cellStyle name="Normal 3 10 20" xfId="1178"/>
    <cellStyle name="Normal 3 10 21" xfId="1179"/>
    <cellStyle name="Normal 3 10 22" xfId="1180"/>
    <cellStyle name="Normal 3 10 23" xfId="1181"/>
    <cellStyle name="Normal 3 10 3" xfId="1182"/>
    <cellStyle name="Normal 3 10 4" xfId="1183"/>
    <cellStyle name="Normal 3 10 5" xfId="1184"/>
    <cellStyle name="Normal 3 10 6" xfId="1185"/>
    <cellStyle name="Normal 3 10 7" xfId="1186"/>
    <cellStyle name="Normal 3 10 8" xfId="1187"/>
    <cellStyle name="Normal 3 10 9" xfId="1188"/>
    <cellStyle name="Normal 3 11" xfId="1189"/>
    <cellStyle name="Normal 3 11 10" xfId="1190"/>
    <cellStyle name="Normal 3 11 11" xfId="1191"/>
    <cellStyle name="Normal 3 11 12" xfId="1192"/>
    <cellStyle name="Normal 3 11 13" xfId="1193"/>
    <cellStyle name="Normal 3 11 14" xfId="1194"/>
    <cellStyle name="Normal 3 11 15" xfId="1195"/>
    <cellStyle name="Normal 3 11 16" xfId="1196"/>
    <cellStyle name="Normal 3 11 17" xfId="1197"/>
    <cellStyle name="Normal 3 11 18" xfId="1198"/>
    <cellStyle name="Normal 3 11 19" xfId="1199"/>
    <cellStyle name="Normal 3 11 2" xfId="1200"/>
    <cellStyle name="Normal 3 11 20" xfId="1201"/>
    <cellStyle name="Normal 3 11 21" xfId="1202"/>
    <cellStyle name="Normal 3 11 22" xfId="1203"/>
    <cellStyle name="Normal 3 11 23" xfId="1204"/>
    <cellStyle name="Normal 3 11 3" xfId="1205"/>
    <cellStyle name="Normal 3 11 4" xfId="1206"/>
    <cellStyle name="Normal 3 11 5" xfId="1207"/>
    <cellStyle name="Normal 3 11 6" xfId="1208"/>
    <cellStyle name="Normal 3 11 7" xfId="1209"/>
    <cellStyle name="Normal 3 11 8" xfId="1210"/>
    <cellStyle name="Normal 3 11 9" xfId="1211"/>
    <cellStyle name="Normal 3 12" xfId="1212"/>
    <cellStyle name="Normal 3 12 10" xfId="1213"/>
    <cellStyle name="Normal 3 12 11" xfId="1214"/>
    <cellStyle name="Normal 3 12 12" xfId="1215"/>
    <cellStyle name="Normal 3 12 13" xfId="1216"/>
    <cellStyle name="Normal 3 12 14" xfId="1217"/>
    <cellStyle name="Normal 3 12 15" xfId="1218"/>
    <cellStyle name="Normal 3 12 16" xfId="1219"/>
    <cellStyle name="Normal 3 12 17" xfId="1220"/>
    <cellStyle name="Normal 3 12 18" xfId="1221"/>
    <cellStyle name="Normal 3 12 19" xfId="1222"/>
    <cellStyle name="Normal 3 12 2" xfId="1223"/>
    <cellStyle name="Normal 3 12 20" xfId="1224"/>
    <cellStyle name="Normal 3 12 21" xfId="1225"/>
    <cellStyle name="Normal 3 12 22" xfId="1226"/>
    <cellStyle name="Normal 3 12 23" xfId="1227"/>
    <cellStyle name="Normal 3 12 3" xfId="1228"/>
    <cellStyle name="Normal 3 12 4" xfId="1229"/>
    <cellStyle name="Normal 3 12 5" xfId="1230"/>
    <cellStyle name="Normal 3 12 6" xfId="1231"/>
    <cellStyle name="Normal 3 12 7" xfId="1232"/>
    <cellStyle name="Normal 3 12 8" xfId="1233"/>
    <cellStyle name="Normal 3 12 9" xfId="1234"/>
    <cellStyle name="Normal 3 13" xfId="1235"/>
    <cellStyle name="Normal 3 13 10" xfId="1236"/>
    <cellStyle name="Normal 3 13 11" xfId="1237"/>
    <cellStyle name="Normal 3 13 12" xfId="1238"/>
    <cellStyle name="Normal 3 13 13" xfId="1239"/>
    <cellStyle name="Normal 3 13 14" xfId="1240"/>
    <cellStyle name="Normal 3 13 15" xfId="1241"/>
    <cellStyle name="Normal 3 13 16" xfId="1242"/>
    <cellStyle name="Normal 3 13 17" xfId="1243"/>
    <cellStyle name="Normal 3 13 18" xfId="1244"/>
    <cellStyle name="Normal 3 13 19" xfId="1245"/>
    <cellStyle name="Normal 3 13 2" xfId="1246"/>
    <cellStyle name="Normal 3 13 20" xfId="1247"/>
    <cellStyle name="Normal 3 13 21" xfId="1248"/>
    <cellStyle name="Normal 3 13 22" xfId="1249"/>
    <cellStyle name="Normal 3 13 23" xfId="1250"/>
    <cellStyle name="Normal 3 13 3" xfId="1251"/>
    <cellStyle name="Normal 3 13 4" xfId="1252"/>
    <cellStyle name="Normal 3 13 5" xfId="1253"/>
    <cellStyle name="Normal 3 13 6" xfId="1254"/>
    <cellStyle name="Normal 3 13 7" xfId="1255"/>
    <cellStyle name="Normal 3 13 8" xfId="1256"/>
    <cellStyle name="Normal 3 13 9" xfId="1257"/>
    <cellStyle name="Normal 3 14" xfId="1258"/>
    <cellStyle name="Normal 3 14 10" xfId="1259"/>
    <cellStyle name="Normal 3 14 11" xfId="1260"/>
    <cellStyle name="Normal 3 14 12" xfId="1261"/>
    <cellStyle name="Normal 3 14 13" xfId="1262"/>
    <cellStyle name="Normal 3 14 14" xfId="1263"/>
    <cellStyle name="Normal 3 14 15" xfId="1264"/>
    <cellStyle name="Normal 3 14 16" xfId="1265"/>
    <cellStyle name="Normal 3 14 17" xfId="1266"/>
    <cellStyle name="Normal 3 14 18" xfId="1267"/>
    <cellStyle name="Normal 3 14 19" xfId="1268"/>
    <cellStyle name="Normal 3 14 2" xfId="1269"/>
    <cellStyle name="Normal 3 14 20" xfId="1270"/>
    <cellStyle name="Normal 3 14 21" xfId="1271"/>
    <cellStyle name="Normal 3 14 22" xfId="1272"/>
    <cellStyle name="Normal 3 14 23" xfId="1273"/>
    <cellStyle name="Normal 3 14 3" xfId="1274"/>
    <cellStyle name="Normal 3 14 4" xfId="1275"/>
    <cellStyle name="Normal 3 14 5" xfId="1276"/>
    <cellStyle name="Normal 3 14 6" xfId="1277"/>
    <cellStyle name="Normal 3 14 7" xfId="1278"/>
    <cellStyle name="Normal 3 14 8" xfId="1279"/>
    <cellStyle name="Normal 3 14 9" xfId="1280"/>
    <cellStyle name="Normal 3 15" xfId="1281"/>
    <cellStyle name="Normal 3 15 10" xfId="1282"/>
    <cellStyle name="Normal 3 15 11" xfId="1283"/>
    <cellStyle name="Normal 3 15 12" xfId="1284"/>
    <cellStyle name="Normal 3 15 13" xfId="1285"/>
    <cellStyle name="Normal 3 15 14" xfId="1286"/>
    <cellStyle name="Normal 3 15 15" xfId="1287"/>
    <cellStyle name="Normal 3 15 16" xfId="1288"/>
    <cellStyle name="Normal 3 15 17" xfId="1289"/>
    <cellStyle name="Normal 3 15 18" xfId="1290"/>
    <cellStyle name="Normal 3 15 19" xfId="1291"/>
    <cellStyle name="Normal 3 15 2" xfId="1292"/>
    <cellStyle name="Normal 3 15 20" xfId="1293"/>
    <cellStyle name="Normal 3 15 21" xfId="1294"/>
    <cellStyle name="Normal 3 15 22" xfId="1295"/>
    <cellStyle name="Normal 3 15 23" xfId="1296"/>
    <cellStyle name="Normal 3 15 3" xfId="1297"/>
    <cellStyle name="Normal 3 15 4" xfId="1298"/>
    <cellStyle name="Normal 3 15 5" xfId="1299"/>
    <cellStyle name="Normal 3 15 6" xfId="1300"/>
    <cellStyle name="Normal 3 15 7" xfId="1301"/>
    <cellStyle name="Normal 3 15 8" xfId="1302"/>
    <cellStyle name="Normal 3 15 9" xfId="1303"/>
    <cellStyle name="Normal 3 16" xfId="1304"/>
    <cellStyle name="Normal 3 16 10" xfId="1305"/>
    <cellStyle name="Normal 3 16 11" xfId="1306"/>
    <cellStyle name="Normal 3 16 12" xfId="1307"/>
    <cellStyle name="Normal 3 16 13" xfId="1308"/>
    <cellStyle name="Normal 3 16 14" xfId="1309"/>
    <cellStyle name="Normal 3 16 15" xfId="1310"/>
    <cellStyle name="Normal 3 16 16" xfId="1311"/>
    <cellStyle name="Normal 3 16 17" xfId="1312"/>
    <cellStyle name="Normal 3 16 18" xfId="1313"/>
    <cellStyle name="Normal 3 16 19" xfId="1314"/>
    <cellStyle name="Normal 3 16 2" xfId="1315"/>
    <cellStyle name="Normal 3 16 20" xfId="1316"/>
    <cellStyle name="Normal 3 16 21" xfId="1317"/>
    <cellStyle name="Normal 3 16 22" xfId="1318"/>
    <cellStyle name="Normal 3 16 23" xfId="1319"/>
    <cellStyle name="Normal 3 16 3" xfId="1320"/>
    <cellStyle name="Normal 3 16 4" xfId="1321"/>
    <cellStyle name="Normal 3 16 5" xfId="1322"/>
    <cellStyle name="Normal 3 16 6" xfId="1323"/>
    <cellStyle name="Normal 3 16 7" xfId="1324"/>
    <cellStyle name="Normal 3 16 8" xfId="1325"/>
    <cellStyle name="Normal 3 16 9" xfId="1326"/>
    <cellStyle name="Normal 3 17" xfId="1327"/>
    <cellStyle name="Normal 3 17 10" xfId="1328"/>
    <cellStyle name="Normal 3 17 11" xfId="1329"/>
    <cellStyle name="Normal 3 17 12" xfId="1330"/>
    <cellStyle name="Normal 3 17 13" xfId="1331"/>
    <cellStyle name="Normal 3 17 14" xfId="1332"/>
    <cellStyle name="Normal 3 17 15" xfId="1333"/>
    <cellStyle name="Normal 3 17 16" xfId="1334"/>
    <cellStyle name="Normal 3 17 17" xfId="1335"/>
    <cellStyle name="Normal 3 17 18" xfId="1336"/>
    <cellStyle name="Normal 3 17 19" xfId="1337"/>
    <cellStyle name="Normal 3 17 2" xfId="1338"/>
    <cellStyle name="Normal 3 17 20" xfId="1339"/>
    <cellStyle name="Normal 3 17 21" xfId="1340"/>
    <cellStyle name="Normal 3 17 22" xfId="1341"/>
    <cellStyle name="Normal 3 17 23" xfId="1342"/>
    <cellStyle name="Normal 3 17 3" xfId="1343"/>
    <cellStyle name="Normal 3 17 4" xfId="1344"/>
    <cellStyle name="Normal 3 17 5" xfId="1345"/>
    <cellStyle name="Normal 3 17 6" xfId="1346"/>
    <cellStyle name="Normal 3 17 7" xfId="1347"/>
    <cellStyle name="Normal 3 17 8" xfId="1348"/>
    <cellStyle name="Normal 3 17 9" xfId="1349"/>
    <cellStyle name="Normal 3 18" xfId="1350"/>
    <cellStyle name="Normal 3 18 10" xfId="1351"/>
    <cellStyle name="Normal 3 18 11" xfId="1352"/>
    <cellStyle name="Normal 3 18 12" xfId="1353"/>
    <cellStyle name="Normal 3 18 13" xfId="1354"/>
    <cellStyle name="Normal 3 18 14" xfId="1355"/>
    <cellStyle name="Normal 3 18 15" xfId="1356"/>
    <cellStyle name="Normal 3 18 16" xfId="1357"/>
    <cellStyle name="Normal 3 18 17" xfId="1358"/>
    <cellStyle name="Normal 3 18 18" xfId="1359"/>
    <cellStyle name="Normal 3 18 19" xfId="1360"/>
    <cellStyle name="Normal 3 18 2" xfId="1361"/>
    <cellStyle name="Normal 3 18 20" xfId="1362"/>
    <cellStyle name="Normal 3 18 21" xfId="1363"/>
    <cellStyle name="Normal 3 18 22" xfId="1364"/>
    <cellStyle name="Normal 3 18 23" xfId="1365"/>
    <cellStyle name="Normal 3 18 3" xfId="1366"/>
    <cellStyle name="Normal 3 18 4" xfId="1367"/>
    <cellStyle name="Normal 3 18 5" xfId="1368"/>
    <cellStyle name="Normal 3 18 6" xfId="1369"/>
    <cellStyle name="Normal 3 18 7" xfId="1370"/>
    <cellStyle name="Normal 3 18 8" xfId="1371"/>
    <cellStyle name="Normal 3 18 9" xfId="1372"/>
    <cellStyle name="Normal 3 19" xfId="1373"/>
    <cellStyle name="Normal 3 19 10" xfId="1374"/>
    <cellStyle name="Normal 3 19 11" xfId="1375"/>
    <cellStyle name="Normal 3 19 12" xfId="1376"/>
    <cellStyle name="Normal 3 19 13" xfId="1377"/>
    <cellStyle name="Normal 3 19 14" xfId="1378"/>
    <cellStyle name="Normal 3 19 15" xfId="1379"/>
    <cellStyle name="Normal 3 19 16" xfId="1380"/>
    <cellStyle name="Normal 3 19 17" xfId="1381"/>
    <cellStyle name="Normal 3 19 18" xfId="1382"/>
    <cellStyle name="Normal 3 19 19" xfId="1383"/>
    <cellStyle name="Normal 3 19 2" xfId="1384"/>
    <cellStyle name="Normal 3 19 20" xfId="1385"/>
    <cellStyle name="Normal 3 19 21" xfId="1386"/>
    <cellStyle name="Normal 3 19 22" xfId="1387"/>
    <cellStyle name="Normal 3 19 23" xfId="1388"/>
    <cellStyle name="Normal 3 19 3" xfId="1389"/>
    <cellStyle name="Normal 3 19 4" xfId="1390"/>
    <cellStyle name="Normal 3 19 5" xfId="1391"/>
    <cellStyle name="Normal 3 19 6" xfId="1392"/>
    <cellStyle name="Normal 3 19 7" xfId="1393"/>
    <cellStyle name="Normal 3 19 8" xfId="1394"/>
    <cellStyle name="Normal 3 19 9" xfId="1395"/>
    <cellStyle name="Normal 3 2" xfId="40"/>
    <cellStyle name="Normal 3 2 10" xfId="1396"/>
    <cellStyle name="Normal 3 2 11" xfId="1397"/>
    <cellStyle name="Normal 3 2 12" xfId="1398"/>
    <cellStyle name="Normal 3 2 13" xfId="1399"/>
    <cellStyle name="Normal 3 2 14" xfId="1400"/>
    <cellStyle name="Normal 3 2 15" xfId="1401"/>
    <cellStyle name="Normal 3 2 16" xfId="1402"/>
    <cellStyle name="Normal 3 2 17" xfId="1403"/>
    <cellStyle name="Normal 3 2 18" xfId="1404"/>
    <cellStyle name="Normal 3 2 19" xfId="1405"/>
    <cellStyle name="Normal 3 2 2" xfId="107"/>
    <cellStyle name="Normal 3 2 2 10" xfId="1406"/>
    <cellStyle name="Normal 3 2 2 11" xfId="1407"/>
    <cellStyle name="Normal 3 2 2 12" xfId="1408"/>
    <cellStyle name="Normal 3 2 2 13" xfId="1409"/>
    <cellStyle name="Normal 3 2 2 14" xfId="1410"/>
    <cellStyle name="Normal 3 2 2 15" xfId="1411"/>
    <cellStyle name="Normal 3 2 2 16" xfId="1412"/>
    <cellStyle name="Normal 3 2 2 17" xfId="1413"/>
    <cellStyle name="Normal 3 2 2 18" xfId="1414"/>
    <cellStyle name="Normal 3 2 2 19" xfId="1415"/>
    <cellStyle name="Normal 3 2 2 2" xfId="1416"/>
    <cellStyle name="Normal 3 2 2 20" xfId="1417"/>
    <cellStyle name="Normal 3 2 2 21" xfId="1418"/>
    <cellStyle name="Normal 3 2 2 22" xfId="1419"/>
    <cellStyle name="Normal 3 2 2 23" xfId="1420"/>
    <cellStyle name="Normal 3 2 2 24" xfId="1421"/>
    <cellStyle name="Normal 3 2 2 25" xfId="1422"/>
    <cellStyle name="Normal 3 2 2 26" xfId="1423"/>
    <cellStyle name="Normal 3 2 2 27" xfId="1424"/>
    <cellStyle name="Normal 3 2 2 28" xfId="1425"/>
    <cellStyle name="Normal 3 2 2 29" xfId="1426"/>
    <cellStyle name="Normal 3 2 2 3" xfId="1427"/>
    <cellStyle name="Normal 3 2 2 30" xfId="1428"/>
    <cellStyle name="Normal 3 2 2 31" xfId="1429"/>
    <cellStyle name="Normal 3 2 2 32" xfId="1430"/>
    <cellStyle name="Normal 3 2 2 33" xfId="1431"/>
    <cellStyle name="Normal 3 2 2 4" xfId="1432"/>
    <cellStyle name="Normal 3 2 2 5" xfId="1433"/>
    <cellStyle name="Normal 3 2 2 6" xfId="1434"/>
    <cellStyle name="Normal 3 2 2 7" xfId="1435"/>
    <cellStyle name="Normal 3 2 2 8" xfId="1436"/>
    <cellStyle name="Normal 3 2 2 9" xfId="1437"/>
    <cellStyle name="Normal 3 2 20" xfId="1438"/>
    <cellStyle name="Normal 3 2 21" xfId="1439"/>
    <cellStyle name="Normal 3 2 22" xfId="1440"/>
    <cellStyle name="Normal 3 2 23" xfId="1441"/>
    <cellStyle name="Normal 3 2 24" xfId="1442"/>
    <cellStyle name="Normal 3 2 25" xfId="1443"/>
    <cellStyle name="Normal 3 2 26" xfId="1444"/>
    <cellStyle name="Normal 3 2 27" xfId="1445"/>
    <cellStyle name="Normal 3 2 28" xfId="1446"/>
    <cellStyle name="Normal 3 2 29" xfId="1447"/>
    <cellStyle name="Normal 3 2 3" xfId="123"/>
    <cellStyle name="Normal 3 2 3 2" xfId="1448"/>
    <cellStyle name="Normal 3 2 30" xfId="1449"/>
    <cellStyle name="Normal 3 2 31" xfId="1450"/>
    <cellStyle name="Normal 3 2 32" xfId="1451"/>
    <cellStyle name="Normal 3 2 33" xfId="1452"/>
    <cellStyle name="Normal 3 2 34" xfId="1453"/>
    <cellStyle name="Normal 3 2 35" xfId="1454"/>
    <cellStyle name="Normal 3 2 36" xfId="1455"/>
    <cellStyle name="Normal 3 2 37" xfId="1456"/>
    <cellStyle name="Normal 3 2 38" xfId="1457"/>
    <cellStyle name="Normal 3 2 39" xfId="1458"/>
    <cellStyle name="Normal 3 2 4" xfId="1459"/>
    <cellStyle name="Normal 3 2 40" xfId="1460"/>
    <cellStyle name="Normal 3 2 41" xfId="1461"/>
    <cellStyle name="Normal 3 2 42" xfId="1462"/>
    <cellStyle name="Normal 3 2 43" xfId="1463"/>
    <cellStyle name="Normal 3 2 44" xfId="1464"/>
    <cellStyle name="Normal 3 2 45" xfId="1465"/>
    <cellStyle name="Normal 3 2 46" xfId="1466"/>
    <cellStyle name="Normal 3 2 47" xfId="1467"/>
    <cellStyle name="Normal 3 2 48" xfId="1468"/>
    <cellStyle name="Normal 3 2 49" xfId="1469"/>
    <cellStyle name="Normal 3 2 5" xfId="1470"/>
    <cellStyle name="Normal 3 2 50" xfId="1471"/>
    <cellStyle name="Normal 3 2 51" xfId="1472"/>
    <cellStyle name="Normal 3 2 52" xfId="1473"/>
    <cellStyle name="Normal 3 2 53" xfId="1474"/>
    <cellStyle name="Normal 3 2 54" xfId="1475"/>
    <cellStyle name="Normal 3 2 55" xfId="1476"/>
    <cellStyle name="Normal 3 2 6" xfId="1477"/>
    <cellStyle name="Normal 3 2 7" xfId="1478"/>
    <cellStyle name="Normal 3 2 8" xfId="1479"/>
    <cellStyle name="Normal 3 2 9" xfId="1480"/>
    <cellStyle name="Normal 3 20" xfId="1481"/>
    <cellStyle name="Normal 3 20 10" xfId="1482"/>
    <cellStyle name="Normal 3 20 11" xfId="1483"/>
    <cellStyle name="Normal 3 20 12" xfId="1484"/>
    <cellStyle name="Normal 3 20 13" xfId="1485"/>
    <cellStyle name="Normal 3 20 14" xfId="1486"/>
    <cellStyle name="Normal 3 20 15" xfId="1487"/>
    <cellStyle name="Normal 3 20 16" xfId="1488"/>
    <cellStyle name="Normal 3 20 17" xfId="1489"/>
    <cellStyle name="Normal 3 20 18" xfId="1490"/>
    <cellStyle name="Normal 3 20 19" xfId="1491"/>
    <cellStyle name="Normal 3 20 2" xfId="1492"/>
    <cellStyle name="Normal 3 20 20" xfId="1493"/>
    <cellStyle name="Normal 3 20 21" xfId="1494"/>
    <cellStyle name="Normal 3 20 22" xfId="1495"/>
    <cellStyle name="Normal 3 20 23" xfId="1496"/>
    <cellStyle name="Normal 3 20 3" xfId="1497"/>
    <cellStyle name="Normal 3 20 4" xfId="1498"/>
    <cellStyle name="Normal 3 20 5" xfId="1499"/>
    <cellStyle name="Normal 3 20 6" xfId="1500"/>
    <cellStyle name="Normal 3 20 7" xfId="1501"/>
    <cellStyle name="Normal 3 20 8" xfId="1502"/>
    <cellStyle name="Normal 3 20 9" xfId="1503"/>
    <cellStyle name="Normal 3 21" xfId="1504"/>
    <cellStyle name="Normal 3 21 10" xfId="1505"/>
    <cellStyle name="Normal 3 21 11" xfId="1506"/>
    <cellStyle name="Normal 3 21 12" xfId="1507"/>
    <cellStyle name="Normal 3 21 13" xfId="1508"/>
    <cellStyle name="Normal 3 21 14" xfId="1509"/>
    <cellStyle name="Normal 3 21 15" xfId="1510"/>
    <cellStyle name="Normal 3 21 16" xfId="1511"/>
    <cellStyle name="Normal 3 21 17" xfId="1512"/>
    <cellStyle name="Normal 3 21 18" xfId="1513"/>
    <cellStyle name="Normal 3 21 19" xfId="1514"/>
    <cellStyle name="Normal 3 21 2" xfId="1515"/>
    <cellStyle name="Normal 3 21 20" xfId="1516"/>
    <cellStyle name="Normal 3 21 21" xfId="1517"/>
    <cellStyle name="Normal 3 21 22" xfId="1518"/>
    <cellStyle name="Normal 3 21 23" xfId="1519"/>
    <cellStyle name="Normal 3 21 3" xfId="1520"/>
    <cellStyle name="Normal 3 21 4" xfId="1521"/>
    <cellStyle name="Normal 3 21 5" xfId="1522"/>
    <cellStyle name="Normal 3 21 6" xfId="1523"/>
    <cellStyle name="Normal 3 21 7" xfId="1524"/>
    <cellStyle name="Normal 3 21 8" xfId="1525"/>
    <cellStyle name="Normal 3 21 9" xfId="1526"/>
    <cellStyle name="Normal 3 22" xfId="1527"/>
    <cellStyle name="Normal 3 22 10" xfId="1528"/>
    <cellStyle name="Normal 3 22 11" xfId="1529"/>
    <cellStyle name="Normal 3 22 12" xfId="1530"/>
    <cellStyle name="Normal 3 22 13" xfId="1531"/>
    <cellStyle name="Normal 3 22 14" xfId="1532"/>
    <cellStyle name="Normal 3 22 15" xfId="1533"/>
    <cellStyle name="Normal 3 22 16" xfId="1534"/>
    <cellStyle name="Normal 3 22 17" xfId="1535"/>
    <cellStyle name="Normal 3 22 18" xfId="1536"/>
    <cellStyle name="Normal 3 22 19" xfId="1537"/>
    <cellStyle name="Normal 3 22 2" xfId="1538"/>
    <cellStyle name="Normal 3 22 20" xfId="1539"/>
    <cellStyle name="Normal 3 22 21" xfId="1540"/>
    <cellStyle name="Normal 3 22 22" xfId="1541"/>
    <cellStyle name="Normal 3 22 23" xfId="1542"/>
    <cellStyle name="Normal 3 22 3" xfId="1543"/>
    <cellStyle name="Normal 3 22 4" xfId="1544"/>
    <cellStyle name="Normal 3 22 5" xfId="1545"/>
    <cellStyle name="Normal 3 22 6" xfId="1546"/>
    <cellStyle name="Normal 3 22 7" xfId="1547"/>
    <cellStyle name="Normal 3 22 8" xfId="1548"/>
    <cellStyle name="Normal 3 22 9" xfId="1549"/>
    <cellStyle name="Normal 3 23" xfId="1550"/>
    <cellStyle name="Normal 3 23 10" xfId="1551"/>
    <cellStyle name="Normal 3 23 11" xfId="1552"/>
    <cellStyle name="Normal 3 23 12" xfId="1553"/>
    <cellStyle name="Normal 3 23 13" xfId="1554"/>
    <cellStyle name="Normal 3 23 14" xfId="1555"/>
    <cellStyle name="Normal 3 23 15" xfId="1556"/>
    <cellStyle name="Normal 3 23 16" xfId="1557"/>
    <cellStyle name="Normal 3 23 17" xfId="1558"/>
    <cellStyle name="Normal 3 23 18" xfId="1559"/>
    <cellStyle name="Normal 3 23 19" xfId="1560"/>
    <cellStyle name="Normal 3 23 2" xfId="1561"/>
    <cellStyle name="Normal 3 23 20" xfId="1562"/>
    <cellStyle name="Normal 3 23 21" xfId="1563"/>
    <cellStyle name="Normal 3 23 22" xfId="1564"/>
    <cellStyle name="Normal 3 23 23" xfId="1565"/>
    <cellStyle name="Normal 3 23 3" xfId="1566"/>
    <cellStyle name="Normal 3 23 4" xfId="1567"/>
    <cellStyle name="Normal 3 23 5" xfId="1568"/>
    <cellStyle name="Normal 3 23 6" xfId="1569"/>
    <cellStyle name="Normal 3 23 7" xfId="1570"/>
    <cellStyle name="Normal 3 23 8" xfId="1571"/>
    <cellStyle name="Normal 3 23 9" xfId="1572"/>
    <cellStyle name="Normal 3 24" xfId="1573"/>
    <cellStyle name="Normal 3 24 10" xfId="1574"/>
    <cellStyle name="Normal 3 24 11" xfId="1575"/>
    <cellStyle name="Normal 3 24 12" xfId="1576"/>
    <cellStyle name="Normal 3 24 13" xfId="1577"/>
    <cellStyle name="Normal 3 24 14" xfId="1578"/>
    <cellStyle name="Normal 3 24 15" xfId="1579"/>
    <cellStyle name="Normal 3 24 16" xfId="1580"/>
    <cellStyle name="Normal 3 24 17" xfId="1581"/>
    <cellStyle name="Normal 3 24 18" xfId="1582"/>
    <cellStyle name="Normal 3 24 19" xfId="1583"/>
    <cellStyle name="Normal 3 24 2" xfId="1584"/>
    <cellStyle name="Normal 3 24 20" xfId="1585"/>
    <cellStyle name="Normal 3 24 21" xfId="1586"/>
    <cellStyle name="Normal 3 24 22" xfId="1587"/>
    <cellStyle name="Normal 3 24 23" xfId="1588"/>
    <cellStyle name="Normal 3 24 3" xfId="1589"/>
    <cellStyle name="Normal 3 24 4" xfId="1590"/>
    <cellStyle name="Normal 3 24 5" xfId="1591"/>
    <cellStyle name="Normal 3 24 6" xfId="1592"/>
    <cellStyle name="Normal 3 24 7" xfId="1593"/>
    <cellStyle name="Normal 3 24 8" xfId="1594"/>
    <cellStyle name="Normal 3 24 9" xfId="1595"/>
    <cellStyle name="Normal 3 25" xfId="1596"/>
    <cellStyle name="Normal 3 25 10" xfId="1597"/>
    <cellStyle name="Normal 3 25 11" xfId="1598"/>
    <cellStyle name="Normal 3 25 12" xfId="1599"/>
    <cellStyle name="Normal 3 25 13" xfId="1600"/>
    <cellStyle name="Normal 3 25 14" xfId="1601"/>
    <cellStyle name="Normal 3 25 15" xfId="1602"/>
    <cellStyle name="Normal 3 25 16" xfId="1603"/>
    <cellStyle name="Normal 3 25 17" xfId="1604"/>
    <cellStyle name="Normal 3 25 18" xfId="1605"/>
    <cellStyle name="Normal 3 25 19" xfId="1606"/>
    <cellStyle name="Normal 3 25 2" xfId="1607"/>
    <cellStyle name="Normal 3 25 20" xfId="1608"/>
    <cellStyle name="Normal 3 25 21" xfId="1609"/>
    <cellStyle name="Normal 3 25 22" xfId="1610"/>
    <cellStyle name="Normal 3 25 23" xfId="1611"/>
    <cellStyle name="Normal 3 25 3" xfId="1612"/>
    <cellStyle name="Normal 3 25 4" xfId="1613"/>
    <cellStyle name="Normal 3 25 5" xfId="1614"/>
    <cellStyle name="Normal 3 25 6" xfId="1615"/>
    <cellStyle name="Normal 3 25 7" xfId="1616"/>
    <cellStyle name="Normal 3 25 8" xfId="1617"/>
    <cellStyle name="Normal 3 25 9" xfId="1618"/>
    <cellStyle name="Normal 3 26" xfId="1619"/>
    <cellStyle name="Normal 3 26 10" xfId="1620"/>
    <cellStyle name="Normal 3 26 11" xfId="1621"/>
    <cellStyle name="Normal 3 26 12" xfId="1622"/>
    <cellStyle name="Normal 3 26 13" xfId="1623"/>
    <cellStyle name="Normal 3 26 14" xfId="1624"/>
    <cellStyle name="Normal 3 26 15" xfId="1625"/>
    <cellStyle name="Normal 3 26 16" xfId="1626"/>
    <cellStyle name="Normal 3 26 17" xfId="1627"/>
    <cellStyle name="Normal 3 26 18" xfId="1628"/>
    <cellStyle name="Normal 3 26 19" xfId="1629"/>
    <cellStyle name="Normal 3 26 2" xfId="1630"/>
    <cellStyle name="Normal 3 26 20" xfId="1631"/>
    <cellStyle name="Normal 3 26 21" xfId="1632"/>
    <cellStyle name="Normal 3 26 22" xfId="1633"/>
    <cellStyle name="Normal 3 26 23" xfId="1634"/>
    <cellStyle name="Normal 3 26 3" xfId="1635"/>
    <cellStyle name="Normal 3 26 4" xfId="1636"/>
    <cellStyle name="Normal 3 26 5" xfId="1637"/>
    <cellStyle name="Normal 3 26 6" xfId="1638"/>
    <cellStyle name="Normal 3 26 7" xfId="1639"/>
    <cellStyle name="Normal 3 26 8" xfId="1640"/>
    <cellStyle name="Normal 3 26 9" xfId="1641"/>
    <cellStyle name="Normal 3 27" xfId="1642"/>
    <cellStyle name="Normal 3 27 10" xfId="1643"/>
    <cellStyle name="Normal 3 27 11" xfId="1644"/>
    <cellStyle name="Normal 3 27 12" xfId="1645"/>
    <cellStyle name="Normal 3 27 13" xfId="1646"/>
    <cellStyle name="Normal 3 27 14" xfId="1647"/>
    <cellStyle name="Normal 3 27 15" xfId="1648"/>
    <cellStyle name="Normal 3 27 16" xfId="1649"/>
    <cellStyle name="Normal 3 27 17" xfId="1650"/>
    <cellStyle name="Normal 3 27 18" xfId="1651"/>
    <cellStyle name="Normal 3 27 19" xfId="1652"/>
    <cellStyle name="Normal 3 27 2" xfId="1653"/>
    <cellStyle name="Normal 3 27 20" xfId="1654"/>
    <cellStyle name="Normal 3 27 21" xfId="1655"/>
    <cellStyle name="Normal 3 27 22" xfId="1656"/>
    <cellStyle name="Normal 3 27 23" xfId="1657"/>
    <cellStyle name="Normal 3 27 3" xfId="1658"/>
    <cellStyle name="Normal 3 27 4" xfId="1659"/>
    <cellStyle name="Normal 3 27 5" xfId="1660"/>
    <cellStyle name="Normal 3 27 6" xfId="1661"/>
    <cellStyle name="Normal 3 27 7" xfId="1662"/>
    <cellStyle name="Normal 3 27 8" xfId="1663"/>
    <cellStyle name="Normal 3 27 9" xfId="1664"/>
    <cellStyle name="Normal 3 28" xfId="1665"/>
    <cellStyle name="Normal 3 28 10" xfId="1666"/>
    <cellStyle name="Normal 3 28 11" xfId="1667"/>
    <cellStyle name="Normal 3 28 12" xfId="1668"/>
    <cellStyle name="Normal 3 28 13" xfId="1669"/>
    <cellStyle name="Normal 3 28 14" xfId="1670"/>
    <cellStyle name="Normal 3 28 15" xfId="1671"/>
    <cellStyle name="Normal 3 28 16" xfId="1672"/>
    <cellStyle name="Normal 3 28 17" xfId="1673"/>
    <cellStyle name="Normal 3 28 18" xfId="1674"/>
    <cellStyle name="Normal 3 28 19" xfId="1675"/>
    <cellStyle name="Normal 3 28 2" xfId="1676"/>
    <cellStyle name="Normal 3 28 20" xfId="1677"/>
    <cellStyle name="Normal 3 28 21" xfId="1678"/>
    <cellStyle name="Normal 3 28 22" xfId="1679"/>
    <cellStyle name="Normal 3 28 23" xfId="1680"/>
    <cellStyle name="Normal 3 28 3" xfId="1681"/>
    <cellStyle name="Normal 3 28 4" xfId="1682"/>
    <cellStyle name="Normal 3 28 5" xfId="1683"/>
    <cellStyle name="Normal 3 28 6" xfId="1684"/>
    <cellStyle name="Normal 3 28 7" xfId="1685"/>
    <cellStyle name="Normal 3 28 8" xfId="1686"/>
    <cellStyle name="Normal 3 28 9" xfId="1687"/>
    <cellStyle name="Normal 3 29" xfId="1688"/>
    <cellStyle name="Normal 3 29 10" xfId="1689"/>
    <cellStyle name="Normal 3 29 11" xfId="1690"/>
    <cellStyle name="Normal 3 29 12" xfId="1691"/>
    <cellStyle name="Normal 3 29 13" xfId="1692"/>
    <cellStyle name="Normal 3 29 14" xfId="1693"/>
    <cellStyle name="Normal 3 29 15" xfId="1694"/>
    <cellStyle name="Normal 3 29 16" xfId="1695"/>
    <cellStyle name="Normal 3 29 17" xfId="1696"/>
    <cellStyle name="Normal 3 29 18" xfId="1697"/>
    <cellStyle name="Normal 3 29 19" xfId="1698"/>
    <cellStyle name="Normal 3 29 2" xfId="1699"/>
    <cellStyle name="Normal 3 29 20" xfId="1700"/>
    <cellStyle name="Normal 3 29 21" xfId="1701"/>
    <cellStyle name="Normal 3 29 22" xfId="1702"/>
    <cellStyle name="Normal 3 29 23" xfId="1703"/>
    <cellStyle name="Normal 3 29 3" xfId="1704"/>
    <cellStyle name="Normal 3 29 4" xfId="1705"/>
    <cellStyle name="Normal 3 29 5" xfId="1706"/>
    <cellStyle name="Normal 3 29 6" xfId="1707"/>
    <cellStyle name="Normal 3 29 7" xfId="1708"/>
    <cellStyle name="Normal 3 29 8" xfId="1709"/>
    <cellStyle name="Normal 3 29 9" xfId="1710"/>
    <cellStyle name="Normal 3 3" xfId="108"/>
    <cellStyle name="Normal 3 3 10" xfId="1711"/>
    <cellStyle name="Normal 3 3 11" xfId="1712"/>
    <cellStyle name="Normal 3 3 12" xfId="1713"/>
    <cellStyle name="Normal 3 3 13" xfId="1714"/>
    <cellStyle name="Normal 3 3 14" xfId="1715"/>
    <cellStyle name="Normal 3 3 15" xfId="1716"/>
    <cellStyle name="Normal 3 3 16" xfId="1717"/>
    <cellStyle name="Normal 3 3 17" xfId="1718"/>
    <cellStyle name="Normal 3 3 18" xfId="1719"/>
    <cellStyle name="Normal 3 3 19" xfId="1720"/>
    <cellStyle name="Normal 3 3 2" xfId="1721"/>
    <cellStyle name="Normal 3 3 20" xfId="1722"/>
    <cellStyle name="Normal 3 3 21" xfId="1723"/>
    <cellStyle name="Normal 3 3 22" xfId="1724"/>
    <cellStyle name="Normal 3 3 23" xfId="1725"/>
    <cellStyle name="Normal 3 3 3" xfId="1726"/>
    <cellStyle name="Normal 3 3 4" xfId="1727"/>
    <cellStyle name="Normal 3 3 5" xfId="1728"/>
    <cellStyle name="Normal 3 3 6" xfId="1729"/>
    <cellStyle name="Normal 3 3 7" xfId="1730"/>
    <cellStyle name="Normal 3 3 8" xfId="1731"/>
    <cellStyle name="Normal 3 3 9" xfId="1732"/>
    <cellStyle name="Normal 3 30" xfId="1733"/>
    <cellStyle name="Normal 3 30 10" xfId="1734"/>
    <cellStyle name="Normal 3 30 11" xfId="1735"/>
    <cellStyle name="Normal 3 30 12" xfId="1736"/>
    <cellStyle name="Normal 3 30 13" xfId="1737"/>
    <cellStyle name="Normal 3 30 14" xfId="1738"/>
    <cellStyle name="Normal 3 30 15" xfId="1739"/>
    <cellStyle name="Normal 3 30 16" xfId="1740"/>
    <cellStyle name="Normal 3 30 17" xfId="1741"/>
    <cellStyle name="Normal 3 30 18" xfId="1742"/>
    <cellStyle name="Normal 3 30 19" xfId="1743"/>
    <cellStyle name="Normal 3 30 2" xfId="1744"/>
    <cellStyle name="Normal 3 30 20" xfId="1745"/>
    <cellStyle name="Normal 3 30 21" xfId="1746"/>
    <cellStyle name="Normal 3 30 22" xfId="1747"/>
    <cellStyle name="Normal 3 30 23" xfId="1748"/>
    <cellStyle name="Normal 3 30 3" xfId="1749"/>
    <cellStyle name="Normal 3 30 4" xfId="1750"/>
    <cellStyle name="Normal 3 30 5" xfId="1751"/>
    <cellStyle name="Normal 3 30 6" xfId="1752"/>
    <cellStyle name="Normal 3 30 7" xfId="1753"/>
    <cellStyle name="Normal 3 30 8" xfId="1754"/>
    <cellStyle name="Normal 3 30 9" xfId="1755"/>
    <cellStyle name="Normal 3 31" xfId="1756"/>
    <cellStyle name="Normal 3 31 10" xfId="1757"/>
    <cellStyle name="Normal 3 31 11" xfId="1758"/>
    <cellStyle name="Normal 3 31 12" xfId="1759"/>
    <cellStyle name="Normal 3 31 13" xfId="1760"/>
    <cellStyle name="Normal 3 31 14" xfId="1761"/>
    <cellStyle name="Normal 3 31 15" xfId="1762"/>
    <cellStyle name="Normal 3 31 16" xfId="1763"/>
    <cellStyle name="Normal 3 31 17" xfId="1764"/>
    <cellStyle name="Normal 3 31 18" xfId="1765"/>
    <cellStyle name="Normal 3 31 19" xfId="1766"/>
    <cellStyle name="Normal 3 31 2" xfId="1767"/>
    <cellStyle name="Normal 3 31 20" xfId="1768"/>
    <cellStyle name="Normal 3 31 21" xfId="1769"/>
    <cellStyle name="Normal 3 31 22" xfId="1770"/>
    <cellStyle name="Normal 3 31 23" xfId="1771"/>
    <cellStyle name="Normal 3 31 3" xfId="1772"/>
    <cellStyle name="Normal 3 31 4" xfId="1773"/>
    <cellStyle name="Normal 3 31 5" xfId="1774"/>
    <cellStyle name="Normal 3 31 6" xfId="1775"/>
    <cellStyle name="Normal 3 31 7" xfId="1776"/>
    <cellStyle name="Normal 3 31 8" xfId="1777"/>
    <cellStyle name="Normal 3 31 9" xfId="1778"/>
    <cellStyle name="Normal 3 32" xfId="1779"/>
    <cellStyle name="Normal 3 32 10" xfId="1780"/>
    <cellStyle name="Normal 3 32 11" xfId="1781"/>
    <cellStyle name="Normal 3 32 12" xfId="1782"/>
    <cellStyle name="Normal 3 32 13" xfId="1783"/>
    <cellStyle name="Normal 3 32 14" xfId="1784"/>
    <cellStyle name="Normal 3 32 15" xfId="1785"/>
    <cellStyle name="Normal 3 32 16" xfId="1786"/>
    <cellStyle name="Normal 3 32 17" xfId="1787"/>
    <cellStyle name="Normal 3 32 18" xfId="1788"/>
    <cellStyle name="Normal 3 32 19" xfId="1789"/>
    <cellStyle name="Normal 3 32 2" xfId="1790"/>
    <cellStyle name="Normal 3 32 20" xfId="1791"/>
    <cellStyle name="Normal 3 32 21" xfId="1792"/>
    <cellStyle name="Normal 3 32 22" xfId="1793"/>
    <cellStyle name="Normal 3 32 23" xfId="1794"/>
    <cellStyle name="Normal 3 32 3" xfId="1795"/>
    <cellStyle name="Normal 3 32 4" xfId="1796"/>
    <cellStyle name="Normal 3 32 5" xfId="1797"/>
    <cellStyle name="Normal 3 32 6" xfId="1798"/>
    <cellStyle name="Normal 3 32 7" xfId="1799"/>
    <cellStyle name="Normal 3 32 8" xfId="1800"/>
    <cellStyle name="Normal 3 32 9" xfId="1801"/>
    <cellStyle name="Normal 3 33" xfId="1802"/>
    <cellStyle name="Normal 3 33 10" xfId="1803"/>
    <cellStyle name="Normal 3 33 11" xfId="1804"/>
    <cellStyle name="Normal 3 33 12" xfId="1805"/>
    <cellStyle name="Normal 3 33 13" xfId="1806"/>
    <cellStyle name="Normal 3 33 14" xfId="1807"/>
    <cellStyle name="Normal 3 33 15" xfId="1808"/>
    <cellStyle name="Normal 3 33 16" xfId="1809"/>
    <cellStyle name="Normal 3 33 17" xfId="1810"/>
    <cellStyle name="Normal 3 33 18" xfId="1811"/>
    <cellStyle name="Normal 3 33 19" xfId="1812"/>
    <cellStyle name="Normal 3 33 2" xfId="1813"/>
    <cellStyle name="Normal 3 33 20" xfId="1814"/>
    <cellStyle name="Normal 3 33 21" xfId="1815"/>
    <cellStyle name="Normal 3 33 22" xfId="1816"/>
    <cellStyle name="Normal 3 33 23" xfId="1817"/>
    <cellStyle name="Normal 3 33 3" xfId="1818"/>
    <cellStyle name="Normal 3 33 4" xfId="1819"/>
    <cellStyle name="Normal 3 33 5" xfId="1820"/>
    <cellStyle name="Normal 3 33 6" xfId="1821"/>
    <cellStyle name="Normal 3 33 7" xfId="1822"/>
    <cellStyle name="Normal 3 33 8" xfId="1823"/>
    <cellStyle name="Normal 3 33 9" xfId="1824"/>
    <cellStyle name="Normal 3 34" xfId="1825"/>
    <cellStyle name="Normal 3 35" xfId="1826"/>
    <cellStyle name="Normal 3 36" xfId="1827"/>
    <cellStyle name="Normal 3 37" xfId="1828"/>
    <cellStyle name="Normal 3 38" xfId="1829"/>
    <cellStyle name="Normal 3 39" xfId="1830"/>
    <cellStyle name="Normal 3 4" xfId="128"/>
    <cellStyle name="Normal 3 4 10" xfId="1832"/>
    <cellStyle name="Normal 3 4 11" xfId="1833"/>
    <cellStyle name="Normal 3 4 12" xfId="1834"/>
    <cellStyle name="Normal 3 4 13" xfId="1835"/>
    <cellStyle name="Normal 3 4 14" xfId="1836"/>
    <cellStyle name="Normal 3 4 15" xfId="1837"/>
    <cellStyle name="Normal 3 4 16" xfId="1838"/>
    <cellStyle name="Normal 3 4 17" xfId="1839"/>
    <cellStyle name="Normal 3 4 18" xfId="1840"/>
    <cellStyle name="Normal 3 4 19" xfId="1841"/>
    <cellStyle name="Normal 3 4 2" xfId="1842"/>
    <cellStyle name="Normal 3 4 20" xfId="1843"/>
    <cellStyle name="Normal 3 4 21" xfId="1844"/>
    <cellStyle name="Normal 3 4 22" xfId="1845"/>
    <cellStyle name="Normal 3 4 23" xfId="1846"/>
    <cellStyle name="Normal 3 4 24" xfId="1831"/>
    <cellStyle name="Normal 3 4 3" xfId="1847"/>
    <cellStyle name="Normal 3 4 4" xfId="1848"/>
    <cellStyle name="Normal 3 4 5" xfId="1849"/>
    <cellStyle name="Normal 3 4 6" xfId="1850"/>
    <cellStyle name="Normal 3 4 7" xfId="1851"/>
    <cellStyle name="Normal 3 4 8" xfId="1852"/>
    <cellStyle name="Normal 3 4 9" xfId="1853"/>
    <cellStyle name="Normal 3 40" xfId="1854"/>
    <cellStyle name="Normal 3 41" xfId="1855"/>
    <cellStyle name="Normal 3 42" xfId="1856"/>
    <cellStyle name="Normal 3 43" xfId="1857"/>
    <cellStyle name="Normal 3 44" xfId="1858"/>
    <cellStyle name="Normal 3 45" xfId="1859"/>
    <cellStyle name="Normal 3 46" xfId="1860"/>
    <cellStyle name="Normal 3 47" xfId="1861"/>
    <cellStyle name="Normal 3 48" xfId="1862"/>
    <cellStyle name="Normal 3 49" xfId="1863"/>
    <cellStyle name="Normal 3 5" xfId="1864"/>
    <cellStyle name="Normal 3 5 10" xfId="1865"/>
    <cellStyle name="Normal 3 5 11" xfId="1866"/>
    <cellStyle name="Normal 3 5 12" xfId="1867"/>
    <cellStyle name="Normal 3 5 13" xfId="1868"/>
    <cellStyle name="Normal 3 5 14" xfId="1869"/>
    <cellStyle name="Normal 3 5 15" xfId="1870"/>
    <cellStyle name="Normal 3 5 16" xfId="1871"/>
    <cellStyle name="Normal 3 5 17" xfId="1872"/>
    <cellStyle name="Normal 3 5 18" xfId="1873"/>
    <cellStyle name="Normal 3 5 19" xfId="1874"/>
    <cellStyle name="Normal 3 5 2" xfId="1875"/>
    <cellStyle name="Normal 3 5 20" xfId="1876"/>
    <cellStyle name="Normal 3 5 21" xfId="1877"/>
    <cellStyle name="Normal 3 5 22" xfId="1878"/>
    <cellStyle name="Normal 3 5 23" xfId="1879"/>
    <cellStyle name="Normal 3 5 3" xfId="1880"/>
    <cellStyle name="Normal 3 5 4" xfId="1881"/>
    <cellStyle name="Normal 3 5 5" xfId="1882"/>
    <cellStyle name="Normal 3 5 6" xfId="1883"/>
    <cellStyle name="Normal 3 5 7" xfId="1884"/>
    <cellStyle name="Normal 3 5 8" xfId="1885"/>
    <cellStyle name="Normal 3 5 9" xfId="1886"/>
    <cellStyle name="Normal 3 50" xfId="1887"/>
    <cellStyle name="Normal 3 51" xfId="1888"/>
    <cellStyle name="Normal 3 52" xfId="1889"/>
    <cellStyle name="Normal 3 53" xfId="1890"/>
    <cellStyle name="Normal 3 54" xfId="1891"/>
    <cellStyle name="Normal 3 55" xfId="1892"/>
    <cellStyle name="Normal 3 56" xfId="1893"/>
    <cellStyle name="Normal 3 57" xfId="1894"/>
    <cellStyle name="Normal 3 58" xfId="1895"/>
    <cellStyle name="Normal 3 59" xfId="1896"/>
    <cellStyle name="Normal 3 6" xfId="1897"/>
    <cellStyle name="Normal 3 6 10" xfId="1898"/>
    <cellStyle name="Normal 3 6 11" xfId="1899"/>
    <cellStyle name="Normal 3 6 12" xfId="1900"/>
    <cellStyle name="Normal 3 6 13" xfId="1901"/>
    <cellStyle name="Normal 3 6 14" xfId="1902"/>
    <cellStyle name="Normal 3 6 15" xfId="1903"/>
    <cellStyle name="Normal 3 6 16" xfId="1904"/>
    <cellStyle name="Normal 3 6 17" xfId="1905"/>
    <cellStyle name="Normal 3 6 18" xfId="1906"/>
    <cellStyle name="Normal 3 6 19" xfId="1907"/>
    <cellStyle name="Normal 3 6 2" xfId="1908"/>
    <cellStyle name="Normal 3 6 20" xfId="1909"/>
    <cellStyle name="Normal 3 6 21" xfId="1910"/>
    <cellStyle name="Normal 3 6 22" xfId="1911"/>
    <cellStyle name="Normal 3 6 23" xfId="1912"/>
    <cellStyle name="Normal 3 6 3" xfId="1913"/>
    <cellStyle name="Normal 3 6 4" xfId="1914"/>
    <cellStyle name="Normal 3 6 5" xfId="1915"/>
    <cellStyle name="Normal 3 6 6" xfId="1916"/>
    <cellStyle name="Normal 3 6 7" xfId="1917"/>
    <cellStyle name="Normal 3 6 8" xfId="1918"/>
    <cellStyle name="Normal 3 6 9" xfId="1919"/>
    <cellStyle name="Normal 3 60" xfId="1920"/>
    <cellStyle name="Normal 3 61" xfId="1921"/>
    <cellStyle name="Normal 3 62" xfId="1922"/>
    <cellStyle name="Normal 3 63" xfId="1923"/>
    <cellStyle name="Normal 3 64" xfId="1924"/>
    <cellStyle name="Normal 3 65" xfId="1925"/>
    <cellStyle name="Normal 3 66" xfId="1926"/>
    <cellStyle name="Normal 3 66 2" xfId="1927"/>
    <cellStyle name="Normal 3 67" xfId="2102"/>
    <cellStyle name="Normal 3 7" xfId="1928"/>
    <cellStyle name="Normal 3 7 10" xfId="1929"/>
    <cellStyle name="Normal 3 7 11" xfId="1930"/>
    <cellStyle name="Normal 3 7 12" xfId="1931"/>
    <cellStyle name="Normal 3 7 13" xfId="1932"/>
    <cellStyle name="Normal 3 7 14" xfId="1933"/>
    <cellStyle name="Normal 3 7 15" xfId="1934"/>
    <cellStyle name="Normal 3 7 16" xfId="1935"/>
    <cellStyle name="Normal 3 7 17" xfId="1936"/>
    <cellStyle name="Normal 3 7 18" xfId="1937"/>
    <cellStyle name="Normal 3 7 19" xfId="1938"/>
    <cellStyle name="Normal 3 7 2" xfId="1939"/>
    <cellStyle name="Normal 3 7 20" xfId="1940"/>
    <cellStyle name="Normal 3 7 21" xfId="1941"/>
    <cellStyle name="Normal 3 7 22" xfId="1942"/>
    <cellStyle name="Normal 3 7 23" xfId="1943"/>
    <cellStyle name="Normal 3 7 3" xfId="1944"/>
    <cellStyle name="Normal 3 7 4" xfId="1945"/>
    <cellStyle name="Normal 3 7 5" xfId="1946"/>
    <cellStyle name="Normal 3 7 6" xfId="1947"/>
    <cellStyle name="Normal 3 7 7" xfId="1948"/>
    <cellStyle name="Normal 3 7 8" xfId="1949"/>
    <cellStyle name="Normal 3 7 9" xfId="1950"/>
    <cellStyle name="Normal 3 8" xfId="1951"/>
    <cellStyle name="Normal 3 8 10" xfId="1952"/>
    <cellStyle name="Normal 3 8 11" xfId="1953"/>
    <cellStyle name="Normal 3 8 12" xfId="1954"/>
    <cellStyle name="Normal 3 8 13" xfId="1955"/>
    <cellStyle name="Normal 3 8 14" xfId="1956"/>
    <cellStyle name="Normal 3 8 15" xfId="1957"/>
    <cellStyle name="Normal 3 8 16" xfId="1958"/>
    <cellStyle name="Normal 3 8 17" xfId="1959"/>
    <cellStyle name="Normal 3 8 18" xfId="1960"/>
    <cellStyle name="Normal 3 8 19" xfId="1961"/>
    <cellStyle name="Normal 3 8 2" xfId="1962"/>
    <cellStyle name="Normal 3 8 20" xfId="1963"/>
    <cellStyle name="Normal 3 8 21" xfId="1964"/>
    <cellStyle name="Normal 3 8 22" xfId="1965"/>
    <cellStyle name="Normal 3 8 23" xfId="1966"/>
    <cellStyle name="Normal 3 8 3" xfId="1967"/>
    <cellStyle name="Normal 3 8 4" xfId="1968"/>
    <cellStyle name="Normal 3 8 5" xfId="1969"/>
    <cellStyle name="Normal 3 8 6" xfId="1970"/>
    <cellStyle name="Normal 3 8 7" xfId="1971"/>
    <cellStyle name="Normal 3 8 8" xfId="1972"/>
    <cellStyle name="Normal 3 8 9" xfId="1973"/>
    <cellStyle name="Normal 3 9" xfId="1974"/>
    <cellStyle name="Normal 3 9 10" xfId="1975"/>
    <cellStyle name="Normal 3 9 11" xfId="1976"/>
    <cellStyle name="Normal 3 9 12" xfId="1977"/>
    <cellStyle name="Normal 3 9 13" xfId="1978"/>
    <cellStyle name="Normal 3 9 14" xfId="1979"/>
    <cellStyle name="Normal 3 9 15" xfId="1980"/>
    <cellStyle name="Normal 3 9 16" xfId="1981"/>
    <cellStyle name="Normal 3 9 17" xfId="1982"/>
    <cellStyle name="Normal 3 9 18" xfId="1983"/>
    <cellStyle name="Normal 3 9 19" xfId="1984"/>
    <cellStyle name="Normal 3 9 2" xfId="1985"/>
    <cellStyle name="Normal 3 9 20" xfId="1986"/>
    <cellStyle name="Normal 3 9 21" xfId="1987"/>
    <cellStyle name="Normal 3 9 22" xfId="1988"/>
    <cellStyle name="Normal 3 9 23" xfId="1989"/>
    <cellStyle name="Normal 3 9 3" xfId="1990"/>
    <cellStyle name="Normal 3 9 4" xfId="1991"/>
    <cellStyle name="Normal 3 9 5" xfId="1992"/>
    <cellStyle name="Normal 3 9 6" xfId="1993"/>
    <cellStyle name="Normal 3 9 7" xfId="1994"/>
    <cellStyle name="Normal 3 9 8" xfId="1995"/>
    <cellStyle name="Normal 3 9 9" xfId="1996"/>
    <cellStyle name="Normal 4" xfId="26"/>
    <cellStyle name="Normal 4 2" xfId="41"/>
    <cellStyle name="Normal 4 2 2" xfId="129"/>
    <cellStyle name="Normal 4 3" xfId="109"/>
    <cellStyle name="Normal 4 3 2" xfId="138"/>
    <cellStyle name="Normal 4 3 3" xfId="2095"/>
    <cellStyle name="Normal 4 4" xfId="124"/>
    <cellStyle name="Normal 4 4 2" xfId="2096"/>
    <cellStyle name="Normal 5" xfId="42"/>
    <cellStyle name="Normal 5 10" xfId="1998"/>
    <cellStyle name="Normal 5 11" xfId="1999"/>
    <cellStyle name="Normal 5 12" xfId="2000"/>
    <cellStyle name="Normal 5 13" xfId="2001"/>
    <cellStyle name="Normal 5 14" xfId="2002"/>
    <cellStyle name="Normal 5 15" xfId="2003"/>
    <cellStyle name="Normal 5 16" xfId="2004"/>
    <cellStyle name="Normal 5 17" xfId="2005"/>
    <cellStyle name="Normal 5 18" xfId="2006"/>
    <cellStyle name="Normal 5 19" xfId="2007"/>
    <cellStyle name="Normal 5 2" xfId="43"/>
    <cellStyle name="Normal 5 2 10" xfId="2009"/>
    <cellStyle name="Normal 5 2 11" xfId="2010"/>
    <cellStyle name="Normal 5 2 12" xfId="2011"/>
    <cellStyle name="Normal 5 2 13" xfId="2012"/>
    <cellStyle name="Normal 5 2 14" xfId="2013"/>
    <cellStyle name="Normal 5 2 15" xfId="2014"/>
    <cellStyle name="Normal 5 2 16" xfId="2015"/>
    <cellStyle name="Normal 5 2 17" xfId="2016"/>
    <cellStyle name="Normal 5 2 18" xfId="2017"/>
    <cellStyle name="Normal 5 2 19" xfId="2018"/>
    <cellStyle name="Normal 5 2 2" xfId="2019"/>
    <cellStyle name="Normal 5 2 20" xfId="2020"/>
    <cellStyle name="Normal 5 2 21" xfId="2021"/>
    <cellStyle name="Normal 5 2 22" xfId="2022"/>
    <cellStyle name="Normal 5 2 23" xfId="2023"/>
    <cellStyle name="Normal 5 2 24" xfId="2008"/>
    <cellStyle name="Normal 5 2 3" xfId="2024"/>
    <cellStyle name="Normal 5 2 4" xfId="2025"/>
    <cellStyle name="Normal 5 2 5" xfId="2026"/>
    <cellStyle name="Normal 5 2 6" xfId="2027"/>
    <cellStyle name="Normal 5 2 7" xfId="2028"/>
    <cellStyle name="Normal 5 2 8" xfId="2029"/>
    <cellStyle name="Normal 5 2 9" xfId="2030"/>
    <cellStyle name="Normal 5 20" xfId="2031"/>
    <cellStyle name="Normal 5 21" xfId="2032"/>
    <cellStyle name="Normal 5 22" xfId="2033"/>
    <cellStyle name="Normal 5 23" xfId="2034"/>
    <cellStyle name="Normal 5 24" xfId="2035"/>
    <cellStyle name="Normal 5 25" xfId="1997"/>
    <cellStyle name="Normal 5 3" xfId="130"/>
    <cellStyle name="Normal 5 3 2" xfId="2036"/>
    <cellStyle name="Normal 5 4" xfId="2037"/>
    <cellStyle name="Normal 5 5" xfId="2038"/>
    <cellStyle name="Normal 5 6" xfId="2039"/>
    <cellStyle name="Normal 5 7" xfId="2040"/>
    <cellStyle name="Normal 5 8" xfId="2041"/>
    <cellStyle name="Normal 5 9" xfId="2042"/>
    <cellStyle name="Normal 6" xfId="44"/>
    <cellStyle name="Normal 6 2" xfId="184"/>
    <cellStyle name="Normal 6 3" xfId="2108"/>
    <cellStyle name="Normal 7" xfId="45"/>
    <cellStyle name="Normal 7 10" xfId="2044"/>
    <cellStyle name="Normal 7 11" xfId="2045"/>
    <cellStyle name="Normal 7 12" xfId="2046"/>
    <cellStyle name="Normal 7 13" xfId="2047"/>
    <cellStyle name="Normal 7 14" xfId="2048"/>
    <cellStyle name="Normal 7 15" xfId="2049"/>
    <cellStyle name="Normal 7 16" xfId="2050"/>
    <cellStyle name="Normal 7 17" xfId="2051"/>
    <cellStyle name="Normal 7 18" xfId="2052"/>
    <cellStyle name="Normal 7 19" xfId="2053"/>
    <cellStyle name="Normal 7 2" xfId="46"/>
    <cellStyle name="Normal 7 2 10" xfId="2055"/>
    <cellStyle name="Normal 7 2 11" xfId="2056"/>
    <cellStyle name="Normal 7 2 12" xfId="2057"/>
    <cellStyle name="Normal 7 2 13" xfId="2058"/>
    <cellStyle name="Normal 7 2 14" xfId="2059"/>
    <cellStyle name="Normal 7 2 15" xfId="2060"/>
    <cellStyle name="Normal 7 2 16" xfId="2061"/>
    <cellStyle name="Normal 7 2 17" xfId="2062"/>
    <cellStyle name="Normal 7 2 18" xfId="2063"/>
    <cellStyle name="Normal 7 2 19" xfId="2064"/>
    <cellStyle name="Normal 7 2 2" xfId="2065"/>
    <cellStyle name="Normal 7 2 20" xfId="2066"/>
    <cellStyle name="Normal 7 2 21" xfId="2067"/>
    <cellStyle name="Normal 7 2 22" xfId="2068"/>
    <cellStyle name="Normal 7 2 23" xfId="2069"/>
    <cellStyle name="Normal 7 2 24" xfId="2054"/>
    <cellStyle name="Normal 7 2 3" xfId="2070"/>
    <cellStyle name="Normal 7 2 4" xfId="2071"/>
    <cellStyle name="Normal 7 2 5" xfId="2072"/>
    <cellStyle name="Normal 7 2 6" xfId="2073"/>
    <cellStyle name="Normal 7 2 7" xfId="2074"/>
    <cellStyle name="Normal 7 2 8" xfId="2075"/>
    <cellStyle name="Normal 7 2 9" xfId="2076"/>
    <cellStyle name="Normal 7 20" xfId="2077"/>
    <cellStyle name="Normal 7 21" xfId="2078"/>
    <cellStyle name="Normal 7 22" xfId="2079"/>
    <cellStyle name="Normal 7 23" xfId="2080"/>
    <cellStyle name="Normal 7 24" xfId="2081"/>
    <cellStyle name="Normal 7 25" xfId="2043"/>
    <cellStyle name="Normal 7 3" xfId="2082"/>
    <cellStyle name="Normal 7 4" xfId="2083"/>
    <cellStyle name="Normal 7 5" xfId="2084"/>
    <cellStyle name="Normal 7 6" xfId="2085"/>
    <cellStyle name="Normal 7 7" xfId="2086"/>
    <cellStyle name="Normal 7 8" xfId="2087"/>
    <cellStyle name="Normal 7 9" xfId="2088"/>
    <cellStyle name="Normal 8" xfId="47"/>
    <cellStyle name="Normal 8 2" xfId="48"/>
    <cellStyle name="Normal 8 3" xfId="2089"/>
    <cellStyle name="Normal 9" xfId="49"/>
    <cellStyle name="Normal 9 2" xfId="110"/>
    <cellStyle name="Normal 9 2 2" xfId="2091"/>
    <cellStyle name="Normal 9 3" xfId="2090"/>
    <cellStyle name="Note" xfId="156" builtinId="10" customBuiltin="1"/>
    <cellStyle name="Note 2" xfId="111"/>
    <cellStyle name="Note 2 2" xfId="132"/>
    <cellStyle name="Note 2 3" xfId="140"/>
    <cellStyle name="Note 2 4" xfId="2092"/>
    <cellStyle name="Output" xfId="151" builtinId="21" customBuiltin="1"/>
    <cellStyle name="Output 2" xfId="112"/>
    <cellStyle name="Output 2 2" xfId="137"/>
    <cellStyle name="Output 2 3" xfId="141"/>
    <cellStyle name="Percent" xfId="2106" builtinId="5"/>
    <cellStyle name="Percent 2" xfId="21"/>
    <cellStyle name="Percent 2 2" xfId="22"/>
    <cellStyle name="Percent 2 2 2" xfId="50"/>
    <cellStyle name="Percent 2 2 2 2" xfId="113"/>
    <cellStyle name="Percent 2 2 3" xfId="114"/>
    <cellStyle name="Percent 2 2 4" xfId="2107"/>
    <cellStyle name="Percent 3" xfId="23"/>
    <cellStyle name="Percent 3 2" xfId="51"/>
    <cellStyle name="Percent 3 2 2" xfId="115"/>
    <cellStyle name="Percent 3 3" xfId="116"/>
    <cellStyle name="Percent 3 4" xfId="131"/>
    <cellStyle name="Percent 4" xfId="52"/>
    <cellStyle name="Percent 4 2" xfId="53"/>
    <cellStyle name="Percent 4 3" xfId="2093"/>
    <cellStyle name="Percent 5" xfId="54"/>
    <cellStyle name="Percent 6" xfId="20"/>
    <cellStyle name="Title 2" xfId="117"/>
    <cellStyle name="Title 3" xfId="2103"/>
    <cellStyle name="Title 4" xfId="2094"/>
    <cellStyle name="Total" xfId="158" builtinId="25" customBuiltin="1"/>
    <cellStyle name="Total 2" xfId="118"/>
    <cellStyle name="Total 2 2" xfId="134"/>
    <cellStyle name="Total 2 3" xfId="142"/>
    <cellStyle name="Warning Text" xfId="155" builtinId="11" customBuiltin="1"/>
    <cellStyle name="Warning Text 2" xfId="119"/>
    <cellStyle name="표준_ENERGY CONSUMP" xfId="24"/>
    <cellStyle name="常规_海外市场服务网站资料操作BOM" xfId="25"/>
  </cellStyles>
  <dxfs count="0"/>
  <tableStyles count="0" defaultTableStyle="TableStyleMedium2" defaultPivotStyle="PivotStyleLight16"/>
  <colors>
    <mruColors>
      <color rgb="FF008080"/>
      <color rgb="FF0099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821313799157574"/>
                  <c:y val="-4.3046465770094675E-2"/>
                </c:manualLayout>
              </c:layout>
              <c:numFmt formatCode="General" sourceLinked="0"/>
            </c:trendlineLbl>
          </c:trendline>
          <c:xVal>
            <c:numRef>
              <c:f>'[6]Labor Results Matrix'!$AQ$16:$AQ$26</c:f>
              <c:numCache>
                <c:formatCode>General</c:formatCode>
                <c:ptCount val="11"/>
                <c:pt idx="0">
                  <c:v>45</c:v>
                </c:pt>
                <c:pt idx="1">
                  <c:v>75</c:v>
                </c:pt>
                <c:pt idx="2">
                  <c:v>100</c:v>
                </c:pt>
                <c:pt idx="3">
                  <c:v>120</c:v>
                </c:pt>
                <c:pt idx="4">
                  <c:v>125</c:v>
                </c:pt>
                <c:pt idx="5">
                  <c:v>150</c:v>
                </c:pt>
                <c:pt idx="6">
                  <c:v>45</c:v>
                </c:pt>
                <c:pt idx="7">
                  <c:v>60</c:v>
                </c:pt>
                <c:pt idx="8">
                  <c:v>70</c:v>
                </c:pt>
                <c:pt idx="9">
                  <c:v>90</c:v>
                </c:pt>
                <c:pt idx="10">
                  <c:v>110</c:v>
                </c:pt>
              </c:numCache>
            </c:numRef>
          </c:xVal>
          <c:yVal>
            <c:numRef>
              <c:f>'Labor Results Matrix'!$AO$5:$AO$15</c:f>
              <c:numCache>
                <c:formatCode>General</c:formatCode>
                <c:ptCount val="11"/>
                <c:pt idx="0">
                  <c:v>4</c:v>
                </c:pt>
                <c:pt idx="1">
                  <c:v>4.444</c:v>
                </c:pt>
                <c:pt idx="2">
                  <c:v>5</c:v>
                </c:pt>
                <c:pt idx="3">
                  <c:v>5.3330000000000002</c:v>
                </c:pt>
                <c:pt idx="4">
                  <c:v>5.3330000000000002</c:v>
                </c:pt>
                <c:pt idx="5">
                  <c:v>5.7140000000000004</c:v>
                </c:pt>
                <c:pt idx="6">
                  <c:v>4</c:v>
                </c:pt>
                <c:pt idx="7">
                  <c:v>4.2110000000000003</c:v>
                </c:pt>
                <c:pt idx="8">
                  <c:v>4.444</c:v>
                </c:pt>
                <c:pt idx="9">
                  <c:v>4.8479999999999999</c:v>
                </c:pt>
                <c:pt idx="10">
                  <c:v>5.1609999999999996</c:v>
                </c:pt>
              </c:numCache>
            </c:numRef>
          </c:yVal>
          <c:smooth val="0"/>
          <c:extLst>
            <c:ext xmlns:c16="http://schemas.microsoft.com/office/drawing/2014/chart" uri="{C3380CC4-5D6E-409C-BE32-E72D297353CC}">
              <c16:uniqueId val="{00000001-70B6-44C1-8863-DDC3FA199AC9}"/>
            </c:ext>
          </c:extLst>
        </c:ser>
        <c:dLbls>
          <c:showLegendKey val="0"/>
          <c:showVal val="0"/>
          <c:showCatName val="0"/>
          <c:showSerName val="0"/>
          <c:showPercent val="0"/>
          <c:showBubbleSize val="0"/>
        </c:dLbls>
        <c:axId val="125236736"/>
        <c:axId val="125238656"/>
      </c:scatterChart>
      <c:valAx>
        <c:axId val="125236736"/>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25238656"/>
        <c:crosses val="autoZero"/>
        <c:crossBetween val="midCat"/>
      </c:valAx>
      <c:valAx>
        <c:axId val="12523865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523673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Centrifugal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'[6]Labor Results Matrix'!$AQ$234:$AQ$243</c:f>
              <c:numCache>
                <c:formatCode>General</c:formatCode>
                <c:ptCount val="10"/>
                <c:pt idx="0">
                  <c:v>400</c:v>
                </c:pt>
                <c:pt idx="1">
                  <c:v>600</c:v>
                </c:pt>
                <c:pt idx="2">
                  <c:v>800</c:v>
                </c:pt>
                <c:pt idx="3">
                  <c:v>1000</c:v>
                </c:pt>
                <c:pt idx="4">
                  <c:v>1200</c:v>
                </c:pt>
                <c:pt idx="5">
                  <c:v>1400</c:v>
                </c:pt>
                <c:pt idx="6">
                  <c:v>1600</c:v>
                </c:pt>
                <c:pt idx="7">
                  <c:v>1800</c:v>
                </c:pt>
                <c:pt idx="8">
                  <c:v>2000</c:v>
                </c:pt>
                <c:pt idx="9">
                  <c:v>2500</c:v>
                </c:pt>
              </c:numCache>
            </c:numRef>
          </c:xVal>
          <c:yVal>
            <c:numRef>
              <c:f>'Labor Results Matrix'!$AO$173:$AO$182</c:f>
              <c:numCache>
                <c:formatCode>General</c:formatCode>
                <c:ptCount val="10"/>
                <c:pt idx="0">
                  <c:v>283</c:v>
                </c:pt>
                <c:pt idx="1">
                  <c:v>310</c:v>
                </c:pt>
                <c:pt idx="2">
                  <c:v>340</c:v>
                </c:pt>
                <c:pt idx="3">
                  <c:v>372</c:v>
                </c:pt>
                <c:pt idx="4">
                  <c:v>395</c:v>
                </c:pt>
                <c:pt idx="5">
                  <c:v>421</c:v>
                </c:pt>
                <c:pt idx="6">
                  <c:v>438</c:v>
                </c:pt>
                <c:pt idx="7">
                  <c:v>457</c:v>
                </c:pt>
                <c:pt idx="8">
                  <c:v>492</c:v>
                </c:pt>
                <c:pt idx="9">
                  <c:v>524</c:v>
                </c:pt>
              </c:numCache>
            </c:numRef>
          </c:yVal>
          <c:smooth val="0"/>
          <c:extLst>
            <c:ext xmlns:c16="http://schemas.microsoft.com/office/drawing/2014/chart" uri="{C3380CC4-5D6E-409C-BE32-E72D297353CC}">
              <c16:uniqueId val="{00000001-8574-4898-9C25-3B007D0C1CF3}"/>
            </c:ext>
          </c:extLst>
        </c:ser>
        <c:dLbls>
          <c:showLegendKey val="0"/>
          <c:showVal val="0"/>
          <c:showCatName val="0"/>
          <c:showSerName val="0"/>
          <c:showPercent val="0"/>
          <c:showBubbleSize val="0"/>
        </c:dLbls>
        <c:axId val="126734720"/>
        <c:axId val="126736640"/>
      </c:scatterChart>
      <c:valAx>
        <c:axId val="126734720"/>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736640"/>
        <c:crosses val="autoZero"/>
        <c:crossBetween val="midCat"/>
      </c:valAx>
      <c:valAx>
        <c:axId val="12673664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73472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Centrifugal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'[6]Labor Results Matrix'!$AQ$234:$AQ$243</c:f>
              <c:numCache>
                <c:formatCode>General</c:formatCode>
                <c:ptCount val="10"/>
                <c:pt idx="0">
                  <c:v>400</c:v>
                </c:pt>
                <c:pt idx="1">
                  <c:v>600</c:v>
                </c:pt>
                <c:pt idx="2">
                  <c:v>800</c:v>
                </c:pt>
                <c:pt idx="3">
                  <c:v>1000</c:v>
                </c:pt>
                <c:pt idx="4">
                  <c:v>1200</c:v>
                </c:pt>
                <c:pt idx="5">
                  <c:v>1400</c:v>
                </c:pt>
                <c:pt idx="6">
                  <c:v>1600</c:v>
                </c:pt>
                <c:pt idx="7">
                  <c:v>1800</c:v>
                </c:pt>
                <c:pt idx="8">
                  <c:v>2000</c:v>
                </c:pt>
                <c:pt idx="9">
                  <c:v>2500</c:v>
                </c:pt>
              </c:numCache>
            </c:numRef>
          </c:xVal>
          <c:yVal>
            <c:numRef>
              <c:f>'Labor Results Matrix'!$AO$173:$AO$182</c:f>
              <c:numCache>
                <c:formatCode>General</c:formatCode>
                <c:ptCount val="10"/>
                <c:pt idx="0">
                  <c:v>283</c:v>
                </c:pt>
                <c:pt idx="1">
                  <c:v>310</c:v>
                </c:pt>
                <c:pt idx="2">
                  <c:v>340</c:v>
                </c:pt>
                <c:pt idx="3">
                  <c:v>372</c:v>
                </c:pt>
                <c:pt idx="4">
                  <c:v>395</c:v>
                </c:pt>
                <c:pt idx="5">
                  <c:v>421</c:v>
                </c:pt>
                <c:pt idx="6">
                  <c:v>438</c:v>
                </c:pt>
                <c:pt idx="7">
                  <c:v>457</c:v>
                </c:pt>
                <c:pt idx="8">
                  <c:v>492</c:v>
                </c:pt>
                <c:pt idx="9">
                  <c:v>524</c:v>
                </c:pt>
              </c:numCache>
            </c:numRef>
          </c:yVal>
          <c:smooth val="0"/>
          <c:extLst>
            <c:ext xmlns:c16="http://schemas.microsoft.com/office/drawing/2014/chart" uri="{C3380CC4-5D6E-409C-BE32-E72D297353CC}">
              <c16:uniqueId val="{00000001-31B5-4938-A0F4-100D67A08685}"/>
            </c:ext>
          </c:extLst>
        </c:ser>
        <c:dLbls>
          <c:showLegendKey val="0"/>
          <c:showVal val="0"/>
          <c:showCatName val="0"/>
          <c:showSerName val="0"/>
          <c:showPercent val="0"/>
          <c:showBubbleSize val="0"/>
        </c:dLbls>
        <c:axId val="126372864"/>
        <c:axId val="126375040"/>
      </c:scatterChart>
      <c:valAx>
        <c:axId val="126372864"/>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375040"/>
        <c:crosses val="autoZero"/>
        <c:crossBetween val="midCat"/>
      </c:valAx>
      <c:valAx>
        <c:axId val="12637504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37286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0.15298665791776056"/>
                  <c:y val="-9.733887430737824E-3"/>
                </c:manualLayout>
              </c:layout>
              <c:numFmt formatCode="General" sourceLinked="0"/>
            </c:trendlineLbl>
          </c:trendline>
          <c:xVal>
            <c:numRef>
              <c:f>'[6]Labor Results Matrix'!$AQ$159:$AQ$165</c:f>
              <c:numCache>
                <c:formatCode>General</c:formatCode>
                <c:ptCount val="7"/>
                <c:pt idx="0">
                  <c:v>1.5</c:v>
                </c:pt>
                <c:pt idx="1">
                  <c:v>2</c:v>
                </c:pt>
                <c:pt idx="2">
                  <c:v>2.5</c:v>
                </c:pt>
                <c:pt idx="3">
                  <c:v>3</c:v>
                </c:pt>
                <c:pt idx="4">
                  <c:v>3.5</c:v>
                </c:pt>
                <c:pt idx="5">
                  <c:v>4</c:v>
                </c:pt>
                <c:pt idx="6">
                  <c:v>5</c:v>
                </c:pt>
              </c:numCache>
            </c:numRef>
          </c:xVal>
          <c:yVal>
            <c:numRef>
              <c:f>'Labor Results Matrix'!$AO$98:$AO$104</c:f>
              <c:numCache>
                <c:formatCode>General</c:formatCode>
                <c:ptCount val="7"/>
                <c:pt idx="0">
                  <c:v>6.4</c:v>
                </c:pt>
                <c:pt idx="1">
                  <c:v>7.6189999999999998</c:v>
                </c:pt>
                <c:pt idx="2">
                  <c:v>9.4120000000000008</c:v>
                </c:pt>
                <c:pt idx="3">
                  <c:v>12.308</c:v>
                </c:pt>
                <c:pt idx="4">
                  <c:v>14.545</c:v>
                </c:pt>
                <c:pt idx="5">
                  <c:v>17.777999999999999</c:v>
                </c:pt>
                <c:pt idx="6">
                  <c:v>26.667000000000002</c:v>
                </c:pt>
              </c:numCache>
            </c:numRef>
          </c:yVal>
          <c:smooth val="0"/>
          <c:extLst>
            <c:ext xmlns:c16="http://schemas.microsoft.com/office/drawing/2014/chart" uri="{C3380CC4-5D6E-409C-BE32-E72D297353CC}">
              <c16:uniqueId val="{00000001-651A-48DC-9731-79EDC1BB5CF6}"/>
            </c:ext>
          </c:extLst>
        </c:ser>
        <c:dLbls>
          <c:showLegendKey val="0"/>
          <c:showVal val="0"/>
          <c:showCatName val="0"/>
          <c:showSerName val="0"/>
          <c:showPercent val="0"/>
          <c:showBubbleSize val="0"/>
        </c:dLbls>
        <c:axId val="126412672"/>
        <c:axId val="126484480"/>
      </c:scatterChart>
      <c:valAx>
        <c:axId val="12641267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484480"/>
        <c:crosses val="autoZero"/>
        <c:crossBetween val="midCat"/>
      </c:valAx>
      <c:valAx>
        <c:axId val="12648448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41267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129428945793605"/>
                  <c:y val="-4.3077063283756177E-2"/>
                </c:manualLayout>
              </c:layout>
              <c:numFmt formatCode="General" sourceLinked="0"/>
            </c:trendlineLbl>
          </c:trendline>
          <c:xVal>
            <c:numRef>
              <c:f>'[6]Labor Results Matrix'!$AQ$274:$AQ$277</c:f>
              <c:numCache>
                <c:formatCode>General</c:formatCode>
                <c:ptCount val="4"/>
                <c:pt idx="0">
                  <c:v>7.5</c:v>
                </c:pt>
                <c:pt idx="1">
                  <c:v>10</c:v>
                </c:pt>
                <c:pt idx="2">
                  <c:v>15</c:v>
                </c:pt>
                <c:pt idx="3">
                  <c:v>20</c:v>
                </c:pt>
              </c:numCache>
            </c:numRef>
          </c:xVal>
          <c:yVal>
            <c:numRef>
              <c:f>'Labor Results Matrix'!$AO$213:$AO$216</c:f>
              <c:numCache>
                <c:formatCode>General</c:formatCode>
                <c:ptCount val="4"/>
                <c:pt idx="0">
                  <c:v>29.091000000000001</c:v>
                </c:pt>
                <c:pt idx="1">
                  <c:v>32</c:v>
                </c:pt>
                <c:pt idx="2">
                  <c:v>40</c:v>
                </c:pt>
                <c:pt idx="3">
                  <c:v>60</c:v>
                </c:pt>
              </c:numCache>
            </c:numRef>
          </c:yVal>
          <c:smooth val="0"/>
          <c:extLst>
            <c:ext xmlns:c16="http://schemas.microsoft.com/office/drawing/2014/chart" uri="{C3380CC4-5D6E-409C-BE32-E72D297353CC}">
              <c16:uniqueId val="{00000001-F2B9-4CF8-98BD-6B06BB87F2EC}"/>
            </c:ext>
          </c:extLst>
        </c:ser>
        <c:dLbls>
          <c:showLegendKey val="0"/>
          <c:showVal val="0"/>
          <c:showCatName val="0"/>
          <c:showSerName val="0"/>
          <c:showPercent val="0"/>
          <c:showBubbleSize val="0"/>
        </c:dLbls>
        <c:axId val="126517632"/>
        <c:axId val="126519552"/>
      </c:scatterChart>
      <c:valAx>
        <c:axId val="12651763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519552"/>
        <c:crosses val="autoZero"/>
        <c:crossBetween val="midCat"/>
      </c:valAx>
      <c:valAx>
        <c:axId val="12651955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51763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2.2930883639545058E-2"/>
                  <c:y val="-4.1554389034703987E-2"/>
                </c:manualLayout>
              </c:layout>
              <c:numFmt formatCode="General" sourceLinked="0"/>
            </c:trendlineLbl>
          </c:trendline>
          <c:xVal>
            <c:numRef>
              <c:f>'[6]Labor Results Matrix'!$AQ$312:$AQ$317</c:f>
              <c:numCache>
                <c:formatCode>General</c:formatCode>
                <c:ptCount val="6"/>
                <c:pt idx="0">
                  <c:v>30</c:v>
                </c:pt>
                <c:pt idx="1">
                  <c:v>40</c:v>
                </c:pt>
                <c:pt idx="2">
                  <c:v>50</c:v>
                </c:pt>
                <c:pt idx="3">
                  <c:v>60</c:v>
                </c:pt>
                <c:pt idx="4">
                  <c:v>75</c:v>
                </c:pt>
                <c:pt idx="5">
                  <c:v>100</c:v>
                </c:pt>
              </c:numCache>
            </c:numRef>
          </c:xVal>
          <c:yVal>
            <c:numRef>
              <c:f>'Labor Results Matrix'!$AO$218:$AO$223</c:f>
              <c:numCache>
                <c:formatCode>General</c:formatCode>
                <c:ptCount val="6"/>
                <c:pt idx="0">
                  <c:v>4</c:v>
                </c:pt>
                <c:pt idx="1">
                  <c:v>4.21</c:v>
                </c:pt>
                <c:pt idx="2">
                  <c:v>4.4400000000000004</c:v>
                </c:pt>
                <c:pt idx="3">
                  <c:v>4.71</c:v>
                </c:pt>
                <c:pt idx="4">
                  <c:v>5.33</c:v>
                </c:pt>
                <c:pt idx="5">
                  <c:v>6.15</c:v>
                </c:pt>
              </c:numCache>
            </c:numRef>
          </c:yVal>
          <c:smooth val="0"/>
          <c:extLst>
            <c:ext xmlns:c16="http://schemas.microsoft.com/office/drawing/2014/chart" uri="{C3380CC4-5D6E-409C-BE32-E72D297353CC}">
              <c16:uniqueId val="{00000001-EE19-41DE-BA97-22CCDFC4E7E6}"/>
            </c:ext>
          </c:extLst>
        </c:ser>
        <c:dLbls>
          <c:showLegendKey val="0"/>
          <c:showVal val="0"/>
          <c:showCatName val="0"/>
          <c:showSerName val="0"/>
          <c:showPercent val="0"/>
          <c:showBubbleSize val="0"/>
        </c:dLbls>
        <c:axId val="126592128"/>
        <c:axId val="126594048"/>
      </c:scatterChart>
      <c:valAx>
        <c:axId val="126592128"/>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26594048"/>
        <c:crosses val="autoZero"/>
        <c:crossBetween val="midCat"/>
      </c:valAx>
      <c:valAx>
        <c:axId val="12659404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59212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a:noFill/>
            </a:ln>
          </c:spPr>
          <c:trendline>
            <c:trendlineType val="linear"/>
            <c:dispRSqr val="1"/>
            <c:dispEq val="1"/>
            <c:trendlineLbl>
              <c:layout>
                <c:manualLayout>
                  <c:x val="-2.2930883639545058E-2"/>
                  <c:y val="-4.1554389034703987E-2"/>
                </c:manualLayout>
              </c:layout>
              <c:numFmt formatCode="General" sourceLinked="0"/>
            </c:trendlineLbl>
          </c:trendline>
          <c:xVal>
            <c:numRef>
              <c:f>'[6]Labor Results Matrix'!$AQ$333:$AQ$339</c:f>
              <c:numCache>
                <c:formatCode>General</c:formatCode>
                <c:ptCount val="7"/>
                <c:pt idx="0">
                  <c:v>20</c:v>
                </c:pt>
                <c:pt idx="1">
                  <c:v>30</c:v>
                </c:pt>
                <c:pt idx="2">
                  <c:v>40</c:v>
                </c:pt>
                <c:pt idx="3">
                  <c:v>52</c:v>
                </c:pt>
                <c:pt idx="4">
                  <c:v>66</c:v>
                </c:pt>
                <c:pt idx="5">
                  <c:v>80</c:v>
                </c:pt>
                <c:pt idx="6">
                  <c:v>120</c:v>
                </c:pt>
              </c:numCache>
            </c:numRef>
          </c:xVal>
          <c:yVal>
            <c:numRef>
              <c:f>'Labor Results Matrix'!#REF!</c:f>
              <c:numCache>
                <c:formatCode>General</c:formatCode>
                <c:ptCount val="1"/>
                <c:pt idx="0">
                  <c:v>1</c:v>
                </c:pt>
              </c:numCache>
            </c:numRef>
          </c:yVal>
          <c:smooth val="0"/>
          <c:extLst>
            <c:ext xmlns:c16="http://schemas.microsoft.com/office/drawing/2014/chart" uri="{C3380CC4-5D6E-409C-BE32-E72D297353CC}">
              <c16:uniqueId val="{00000001-DAAB-4AD6-A90F-A6F29BE166D8}"/>
            </c:ext>
          </c:extLst>
        </c:ser>
        <c:dLbls>
          <c:showLegendKey val="0"/>
          <c:showVal val="0"/>
          <c:showCatName val="0"/>
          <c:showSerName val="0"/>
          <c:showPercent val="0"/>
          <c:showBubbleSize val="0"/>
        </c:dLbls>
        <c:axId val="126610816"/>
        <c:axId val="127026688"/>
      </c:scatterChart>
      <c:valAx>
        <c:axId val="126610816"/>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27026688"/>
        <c:crosses val="autoZero"/>
        <c:crossBetween val="midCat"/>
      </c:valAx>
      <c:valAx>
        <c:axId val="12702668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61081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1389372708919154"/>
                  <c:y val="-5.9544124052461789E-2"/>
                </c:manualLayout>
              </c:layout>
              <c:numFmt formatCode="General" sourceLinked="0"/>
            </c:trendlineLbl>
          </c:trendline>
          <c:xVal>
            <c:numRef>
              <c:f>'[6]Labor Results Matrix'!$AQ$344:$AQ$347</c:f>
              <c:numCache>
                <c:formatCode>General</c:formatCode>
                <c:ptCount val="4"/>
                <c:pt idx="0">
                  <c:v>3.2</c:v>
                </c:pt>
                <c:pt idx="1">
                  <c:v>6.4</c:v>
                </c:pt>
                <c:pt idx="2">
                  <c:v>8.4</c:v>
                </c:pt>
                <c:pt idx="3">
                  <c:v>9.5</c:v>
                </c:pt>
              </c:numCache>
            </c:numRef>
          </c:xVal>
          <c:yVal>
            <c:numRef>
              <c:f>'Labor Results Matrix'!$AO$239:$AO$242</c:f>
              <c:numCache>
                <c:formatCode>General</c:formatCode>
                <c:ptCount val="4"/>
                <c:pt idx="0">
                  <c:v>4</c:v>
                </c:pt>
                <c:pt idx="1">
                  <c:v>4.2110000000000003</c:v>
                </c:pt>
                <c:pt idx="2">
                  <c:v>4.444</c:v>
                </c:pt>
                <c:pt idx="3">
                  <c:v>5</c:v>
                </c:pt>
              </c:numCache>
            </c:numRef>
          </c:yVal>
          <c:smooth val="0"/>
          <c:extLst>
            <c:ext xmlns:c16="http://schemas.microsoft.com/office/drawing/2014/chart" uri="{C3380CC4-5D6E-409C-BE32-E72D297353CC}">
              <c16:uniqueId val="{00000001-A0D8-4126-97F4-E2E1D052ADCD}"/>
            </c:ext>
          </c:extLst>
        </c:ser>
        <c:dLbls>
          <c:showLegendKey val="0"/>
          <c:showVal val="0"/>
          <c:showCatName val="0"/>
          <c:showSerName val="0"/>
          <c:showPercent val="0"/>
          <c:showBubbleSize val="0"/>
        </c:dLbls>
        <c:axId val="127059840"/>
        <c:axId val="127062016"/>
      </c:scatterChart>
      <c:valAx>
        <c:axId val="127059840"/>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27062016"/>
        <c:crosses val="autoZero"/>
        <c:crossBetween val="midCat"/>
      </c:valAx>
      <c:valAx>
        <c:axId val="12706201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705984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8.2381671041119639E-2"/>
                  <c:y val="-1.4363517060367481E-2"/>
                </c:manualLayout>
              </c:layout>
              <c:numFmt formatCode="General" sourceLinked="0"/>
            </c:trendlineLbl>
          </c:trendline>
          <c:xVal>
            <c:numRef>
              <c:f>'[6]Labor Results Matrix'!$AQ$366:$AQ$374</c:f>
              <c:numCache>
                <c:formatCode>General</c:formatCode>
                <c:ptCount val="9"/>
                <c:pt idx="0">
                  <c:v>75</c:v>
                </c:pt>
                <c:pt idx="1">
                  <c:v>98</c:v>
                </c:pt>
                <c:pt idx="2">
                  <c:v>120</c:v>
                </c:pt>
                <c:pt idx="3">
                  <c:v>120</c:v>
                </c:pt>
                <c:pt idx="4">
                  <c:v>140</c:v>
                </c:pt>
                <c:pt idx="5">
                  <c:v>155</c:v>
                </c:pt>
                <c:pt idx="6">
                  <c:v>180</c:v>
                </c:pt>
                <c:pt idx="7">
                  <c:v>200</c:v>
                </c:pt>
                <c:pt idx="8">
                  <c:v>250</c:v>
                </c:pt>
              </c:numCache>
            </c:numRef>
          </c:xVal>
          <c:yVal>
            <c:numRef>
              <c:f>'Labor Results Matrix'!$AO$261:$AO$269</c:f>
              <c:numCache>
                <c:formatCode>General</c:formatCode>
                <c:ptCount val="9"/>
                <c:pt idx="0">
                  <c:v>5.7140000000000004</c:v>
                </c:pt>
                <c:pt idx="1">
                  <c:v>5.7140000000000004</c:v>
                </c:pt>
                <c:pt idx="2">
                  <c:v>6.6669999999999998</c:v>
                </c:pt>
                <c:pt idx="3">
                  <c:v>7.2729999999999997</c:v>
                </c:pt>
                <c:pt idx="4">
                  <c:v>8</c:v>
                </c:pt>
                <c:pt idx="5">
                  <c:v>10</c:v>
                </c:pt>
                <c:pt idx="6">
                  <c:v>11.429</c:v>
                </c:pt>
                <c:pt idx="7">
                  <c:v>13.333</c:v>
                </c:pt>
                <c:pt idx="8">
                  <c:v>16</c:v>
                </c:pt>
              </c:numCache>
            </c:numRef>
          </c:yVal>
          <c:smooth val="0"/>
          <c:extLst>
            <c:ext xmlns:c16="http://schemas.microsoft.com/office/drawing/2014/chart" uri="{C3380CC4-5D6E-409C-BE32-E72D297353CC}">
              <c16:uniqueId val="{00000001-379D-444F-9FF8-43F6C82CFE08}"/>
            </c:ext>
          </c:extLst>
        </c:ser>
        <c:dLbls>
          <c:showLegendKey val="0"/>
          <c:showVal val="0"/>
          <c:showCatName val="0"/>
          <c:showSerName val="0"/>
          <c:showPercent val="0"/>
          <c:showBubbleSize val="0"/>
        </c:dLbls>
        <c:axId val="126841216"/>
        <c:axId val="126843136"/>
      </c:scatterChart>
      <c:valAx>
        <c:axId val="126841216"/>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26843136"/>
        <c:crosses val="autoZero"/>
        <c:crossBetween val="midCat"/>
      </c:valAx>
      <c:valAx>
        <c:axId val="12684313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84121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15 - 50 HP</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13786299344654504"/>
                  <c:y val="-2.3997595057428371E-2"/>
                </c:manualLayout>
              </c:layout>
              <c:numFmt formatCode="General" sourceLinked="0"/>
            </c:trendlineLbl>
          </c:trendline>
          <c:xVal>
            <c:numRef>
              <c:f>'[6]Labor Results Matrix'!$AQ$81:$AQ$85</c:f>
              <c:numCache>
                <c:formatCode>General</c:formatCode>
                <c:ptCount val="5"/>
                <c:pt idx="0">
                  <c:v>15</c:v>
                </c:pt>
                <c:pt idx="1">
                  <c:v>20</c:v>
                </c:pt>
                <c:pt idx="2">
                  <c:v>30</c:v>
                </c:pt>
                <c:pt idx="3">
                  <c:v>40</c:v>
                </c:pt>
                <c:pt idx="4">
                  <c:v>50</c:v>
                </c:pt>
              </c:numCache>
            </c:numRef>
          </c:xVal>
          <c:yVal>
            <c:numRef>
              <c:f>'Labor Results Matrix'!$AO$72:$AO$76</c:f>
              <c:numCache>
                <c:formatCode>General</c:formatCode>
                <c:ptCount val="5"/>
                <c:pt idx="0">
                  <c:v>17.978000000000002</c:v>
                </c:pt>
                <c:pt idx="1">
                  <c:v>17.978000000000002</c:v>
                </c:pt>
                <c:pt idx="2">
                  <c:v>23.881</c:v>
                </c:pt>
                <c:pt idx="3">
                  <c:v>23.881</c:v>
                </c:pt>
                <c:pt idx="4">
                  <c:v>30.189</c:v>
                </c:pt>
              </c:numCache>
            </c:numRef>
          </c:yVal>
          <c:smooth val="0"/>
          <c:extLst>
            <c:ext xmlns:c16="http://schemas.microsoft.com/office/drawing/2014/chart" uri="{C3380CC4-5D6E-409C-BE32-E72D297353CC}">
              <c16:uniqueId val="{00000001-5888-4957-A56A-31ED3B15AE93}"/>
            </c:ext>
          </c:extLst>
        </c:ser>
        <c:dLbls>
          <c:showLegendKey val="0"/>
          <c:showVal val="0"/>
          <c:showCatName val="0"/>
          <c:showSerName val="0"/>
          <c:showPercent val="0"/>
          <c:showBubbleSize val="0"/>
        </c:dLbls>
        <c:axId val="127089280"/>
        <c:axId val="127111936"/>
      </c:scatterChart>
      <c:valAx>
        <c:axId val="127089280"/>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27111936"/>
        <c:crosses val="autoZero"/>
        <c:crossBetween val="midCat"/>
      </c:valAx>
      <c:valAx>
        <c:axId val="12711193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708928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3.968966139632215E-2"/>
                  <c:y val="0.12824639758210835"/>
                </c:manualLayout>
              </c:layout>
              <c:numFmt formatCode="General" sourceLinked="0"/>
            </c:trendlineLbl>
          </c:trendline>
          <c:xVal>
            <c:numRef>
              <c:f>'[6]Labor Results Matrix'!$AQ$92:$AQ$95</c:f>
              <c:numCache>
                <c:formatCode>General</c:formatCode>
                <c:ptCount val="4"/>
                <c:pt idx="0">
                  <c:v>3</c:v>
                </c:pt>
                <c:pt idx="1">
                  <c:v>5</c:v>
                </c:pt>
                <c:pt idx="2">
                  <c:v>7.5</c:v>
                </c:pt>
                <c:pt idx="3">
                  <c:v>10</c:v>
                </c:pt>
              </c:numCache>
            </c:numRef>
          </c:xVal>
          <c:yVal>
            <c:numRef>
              <c:f>'Labor Results Matrix'!$AO$83:$AO$86</c:f>
              <c:numCache>
                <c:formatCode>General</c:formatCode>
                <c:ptCount val="4"/>
                <c:pt idx="0">
                  <c:v>10</c:v>
                </c:pt>
                <c:pt idx="1">
                  <c:v>10</c:v>
                </c:pt>
                <c:pt idx="2">
                  <c:v>11.94</c:v>
                </c:pt>
                <c:pt idx="3">
                  <c:v>11.94</c:v>
                </c:pt>
              </c:numCache>
            </c:numRef>
          </c:yVal>
          <c:smooth val="0"/>
          <c:extLst>
            <c:ext xmlns:c16="http://schemas.microsoft.com/office/drawing/2014/chart" uri="{C3380CC4-5D6E-409C-BE32-E72D297353CC}">
              <c16:uniqueId val="{00000001-AEAF-48CE-B8BB-28501031DF49}"/>
            </c:ext>
          </c:extLst>
        </c:ser>
        <c:dLbls>
          <c:showLegendKey val="0"/>
          <c:showVal val="0"/>
          <c:showCatName val="0"/>
          <c:showSerName val="0"/>
          <c:showPercent val="0"/>
          <c:showBubbleSize val="0"/>
        </c:dLbls>
        <c:axId val="127211008"/>
        <c:axId val="127212928"/>
      </c:scatterChart>
      <c:valAx>
        <c:axId val="127211008"/>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27212928"/>
        <c:crosses val="autoZero"/>
        <c:crossBetween val="midCat"/>
      </c:valAx>
      <c:valAx>
        <c:axId val="12721292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721100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a:noFill/>
            </a:ln>
          </c:spPr>
          <c:trendline>
            <c:trendlineType val="exp"/>
            <c:dispRSqr val="1"/>
            <c:dispEq val="1"/>
            <c:trendlineLbl>
              <c:layout>
                <c:manualLayout>
                  <c:x val="-9.0519923880830744E-2"/>
                  <c:y val="1.2104237781831978E-2"/>
                </c:manualLayout>
              </c:layout>
              <c:numFmt formatCode="General" sourceLinked="0"/>
            </c:trendlineLbl>
          </c:trendline>
          <c:xVal>
            <c:numRef>
              <c:f>'[6]Labor Results Matrix'!$AQ$35:$AQ$39</c:f>
              <c:numCache>
                <c:formatCode>General</c:formatCode>
                <c:ptCount val="5"/>
                <c:pt idx="0">
                  <c:v>2</c:v>
                </c:pt>
                <c:pt idx="1">
                  <c:v>2.5</c:v>
                </c:pt>
                <c:pt idx="2">
                  <c:v>3</c:v>
                </c:pt>
                <c:pt idx="3">
                  <c:v>4</c:v>
                </c:pt>
                <c:pt idx="4">
                  <c:v>5</c:v>
                </c:pt>
              </c:numCache>
            </c:numRef>
          </c:xVal>
          <c:yVal>
            <c:numRef>
              <c:f>'[6]Labor Results Matrix'!$AR$35:$AR$39</c:f>
              <c:numCache>
                <c:formatCode>General</c:formatCode>
                <c:ptCount val="5"/>
                <c:pt idx="0">
                  <c:v>20</c:v>
                </c:pt>
                <c:pt idx="1">
                  <c:v>25</c:v>
                </c:pt>
                <c:pt idx="2">
                  <c:v>30.476300000000002</c:v>
                </c:pt>
                <c:pt idx="3">
                  <c:v>50</c:v>
                </c:pt>
                <c:pt idx="4">
                  <c:v>80</c:v>
                </c:pt>
              </c:numCache>
            </c:numRef>
          </c:yVal>
          <c:smooth val="0"/>
          <c:extLst>
            <c:ext xmlns:c16="http://schemas.microsoft.com/office/drawing/2014/chart" uri="{C3380CC4-5D6E-409C-BE32-E72D297353CC}">
              <c16:uniqueId val="{00000001-C876-4B46-84C1-CFDDFFA28C37}"/>
            </c:ext>
          </c:extLst>
        </c:ser>
        <c:ser>
          <c:idx val="1"/>
          <c:order val="1"/>
          <c:spPr>
            <a:ln w="19050">
              <a:noFill/>
            </a:ln>
          </c:spPr>
          <c:trendline>
            <c:trendlineType val="exp"/>
            <c:dispRSqr val="0"/>
            <c:dispEq val="1"/>
            <c:trendlineLbl>
              <c:numFmt formatCode="General" sourceLinked="0"/>
            </c:trendlineLbl>
          </c:trendline>
          <c:xVal>
            <c:numRef>
              <c:f>'[6]Labor Results Matrix'!$AQ$41:$AQ$45</c:f>
              <c:numCache>
                <c:formatCode>General</c:formatCode>
                <c:ptCount val="5"/>
              </c:numCache>
            </c:numRef>
          </c:xVal>
          <c:yVal>
            <c:numRef>
              <c:f>'Labor Results Matrix'!$AO$30:$AO$34</c:f>
              <c:numCache>
                <c:formatCode>General</c:formatCode>
                <c:ptCount val="5"/>
                <c:pt idx="0">
                  <c:v>12</c:v>
                </c:pt>
                <c:pt idx="1">
                  <c:v>15</c:v>
                </c:pt>
                <c:pt idx="2">
                  <c:v>17.143000000000001</c:v>
                </c:pt>
                <c:pt idx="3">
                  <c:v>30</c:v>
                </c:pt>
                <c:pt idx="4">
                  <c:v>48</c:v>
                </c:pt>
              </c:numCache>
            </c:numRef>
          </c:yVal>
          <c:smooth val="0"/>
          <c:extLst>
            <c:ext xmlns:c16="http://schemas.microsoft.com/office/drawing/2014/chart" uri="{C3380CC4-5D6E-409C-BE32-E72D297353CC}">
              <c16:uniqueId val="{00000003-C876-4B46-84C1-CFDDFFA28C37}"/>
            </c:ext>
          </c:extLst>
        </c:ser>
        <c:dLbls>
          <c:showLegendKey val="0"/>
          <c:showVal val="0"/>
          <c:showCatName val="0"/>
          <c:showSerName val="0"/>
          <c:showPercent val="0"/>
          <c:showBubbleSize val="0"/>
        </c:dLbls>
        <c:axId val="125793792"/>
        <c:axId val="125795712"/>
      </c:scatterChart>
      <c:valAx>
        <c:axId val="12579379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5795712"/>
        <c:crosses val="autoZero"/>
        <c:crossBetween val="midCat"/>
      </c:valAx>
      <c:valAx>
        <c:axId val="12579571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579379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&gt; 50 HP</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13026685304458005"/>
                  <c:y val="9.6204463385921354E-2"/>
                </c:manualLayout>
              </c:layout>
              <c:numFmt formatCode="General" sourceLinked="0"/>
            </c:trendlineLbl>
          </c:trendline>
          <c:xVal>
            <c:numRef>
              <c:f>'[6]Labor Results Matrix'!$AQ$86:$AQ$90</c:f>
              <c:numCache>
                <c:formatCode>General</c:formatCode>
                <c:ptCount val="5"/>
                <c:pt idx="0">
                  <c:v>60</c:v>
                </c:pt>
                <c:pt idx="1">
                  <c:v>75</c:v>
                </c:pt>
                <c:pt idx="2">
                  <c:v>100</c:v>
                </c:pt>
                <c:pt idx="3">
                  <c:v>150</c:v>
                </c:pt>
                <c:pt idx="4">
                  <c:v>200</c:v>
                </c:pt>
              </c:numCache>
            </c:numRef>
          </c:xVal>
          <c:yVal>
            <c:numRef>
              <c:f>'Labor Results Matrix'!$AO$77:$AO$81</c:f>
              <c:numCache>
                <c:formatCode>General</c:formatCode>
                <c:ptCount val="5"/>
                <c:pt idx="0">
                  <c:v>35.713999999999999</c:v>
                </c:pt>
                <c:pt idx="1">
                  <c:v>35.713999999999999</c:v>
                </c:pt>
                <c:pt idx="2">
                  <c:v>40</c:v>
                </c:pt>
                <c:pt idx="3">
                  <c:v>40</c:v>
                </c:pt>
                <c:pt idx="4">
                  <c:v>47.619</c:v>
                </c:pt>
              </c:numCache>
            </c:numRef>
          </c:yVal>
          <c:smooth val="0"/>
          <c:extLst>
            <c:ext xmlns:c16="http://schemas.microsoft.com/office/drawing/2014/chart" uri="{C3380CC4-5D6E-409C-BE32-E72D297353CC}">
              <c16:uniqueId val="{00000001-3041-40F3-A9F8-EBA73DCB5B70}"/>
            </c:ext>
          </c:extLst>
        </c:ser>
        <c:dLbls>
          <c:showLegendKey val="0"/>
          <c:showVal val="0"/>
          <c:showCatName val="0"/>
          <c:showSerName val="0"/>
          <c:showPercent val="0"/>
          <c:showBubbleSize val="0"/>
        </c:dLbls>
        <c:axId val="127233408"/>
        <c:axId val="127247872"/>
      </c:scatterChart>
      <c:valAx>
        <c:axId val="127233408"/>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27247872"/>
        <c:crosses val="autoZero"/>
        <c:crossBetween val="midCat"/>
      </c:valAx>
      <c:valAx>
        <c:axId val="12724787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723340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Direct drive</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21029352934995468"/>
                  <c:y val="-4.7949380788300945E-2"/>
                </c:manualLayout>
              </c:layout>
              <c:numFmt formatCode="General" sourceLinked="0"/>
            </c:trendlineLbl>
          </c:trendline>
          <c:xVal>
            <c:numRef>
              <c:f>'[6]Labor Results Matrix'!$AR$66:$AR$70</c:f>
              <c:numCache>
                <c:formatCode>General</c:formatCode>
                <c:ptCount val="5"/>
                <c:pt idx="0">
                  <c:v>0.125</c:v>
                </c:pt>
                <c:pt idx="1">
                  <c:v>0.16666666666666666</c:v>
                </c:pt>
                <c:pt idx="2">
                  <c:v>0.5</c:v>
                </c:pt>
                <c:pt idx="3">
                  <c:v>0.75</c:v>
                </c:pt>
                <c:pt idx="4">
                  <c:v>1.5</c:v>
                </c:pt>
              </c:numCache>
            </c:numRef>
          </c:xVal>
          <c:yVal>
            <c:numRef>
              <c:f>'Labor Results Matrix'!$AO$57:$AO$61</c:f>
              <c:numCache>
                <c:formatCode>General</c:formatCode>
                <c:ptCount val="5"/>
                <c:pt idx="0">
                  <c:v>3.125</c:v>
                </c:pt>
                <c:pt idx="1">
                  <c:v>3.448</c:v>
                </c:pt>
                <c:pt idx="2">
                  <c:v>4.1669999999999998</c:v>
                </c:pt>
                <c:pt idx="3">
                  <c:v>4.5449999999999999</c:v>
                </c:pt>
                <c:pt idx="4">
                  <c:v>6.6669999999999998</c:v>
                </c:pt>
              </c:numCache>
            </c:numRef>
          </c:yVal>
          <c:smooth val="0"/>
          <c:extLst>
            <c:ext xmlns:c16="http://schemas.microsoft.com/office/drawing/2014/chart" uri="{C3380CC4-5D6E-409C-BE32-E72D297353CC}">
              <c16:uniqueId val="{00000001-3720-4CFC-9093-1028736BD8DD}"/>
            </c:ext>
          </c:extLst>
        </c:ser>
        <c:dLbls>
          <c:showLegendKey val="0"/>
          <c:showVal val="0"/>
          <c:showCatName val="0"/>
          <c:showSerName val="0"/>
          <c:showPercent val="0"/>
          <c:showBubbleSize val="0"/>
        </c:dLbls>
        <c:axId val="127293696"/>
        <c:axId val="127295872"/>
      </c:scatterChart>
      <c:valAx>
        <c:axId val="127293696"/>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27295872"/>
        <c:crosses val="autoZero"/>
        <c:crossBetween val="midCat"/>
      </c:valAx>
      <c:valAx>
        <c:axId val="12729587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729369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V-belt drive</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21029352934995468"/>
                  <c:y val="-4.7949380788300945E-2"/>
                </c:manualLayout>
              </c:layout>
              <c:numFmt formatCode="General" sourceLinked="0"/>
            </c:trendlineLbl>
          </c:trendline>
          <c:xVal>
            <c:numRef>
              <c:f>'[6]Labor Results Matrix'!$AR$71:$AR$74</c:f>
              <c:numCache>
                <c:formatCode>General</c:formatCode>
                <c:ptCount val="4"/>
                <c:pt idx="0">
                  <c:v>0.25</c:v>
                </c:pt>
                <c:pt idx="1">
                  <c:v>0.33333333333333331</c:v>
                </c:pt>
                <c:pt idx="2">
                  <c:v>0.75</c:v>
                </c:pt>
                <c:pt idx="3">
                  <c:v>1</c:v>
                </c:pt>
              </c:numCache>
            </c:numRef>
          </c:xVal>
          <c:yVal>
            <c:numRef>
              <c:f>'Labor Results Matrix'!$AO$62:$AO$65</c:f>
              <c:numCache>
                <c:formatCode>General</c:formatCode>
                <c:ptCount val="4"/>
                <c:pt idx="0">
                  <c:v>3.3330000000000002</c:v>
                </c:pt>
                <c:pt idx="1">
                  <c:v>4</c:v>
                </c:pt>
                <c:pt idx="2">
                  <c:v>4.3479999999999999</c:v>
                </c:pt>
                <c:pt idx="3">
                  <c:v>4.7619999999999996</c:v>
                </c:pt>
              </c:numCache>
            </c:numRef>
          </c:yVal>
          <c:smooth val="0"/>
          <c:extLst>
            <c:ext xmlns:c16="http://schemas.microsoft.com/office/drawing/2014/chart" uri="{C3380CC4-5D6E-409C-BE32-E72D297353CC}">
              <c16:uniqueId val="{00000001-36C4-4505-8288-5A2A2B9D656B}"/>
            </c:ext>
          </c:extLst>
        </c:ser>
        <c:dLbls>
          <c:showLegendKey val="0"/>
          <c:showVal val="0"/>
          <c:showCatName val="0"/>
          <c:showSerName val="0"/>
          <c:showPercent val="0"/>
          <c:showBubbleSize val="0"/>
        </c:dLbls>
        <c:axId val="127325312"/>
        <c:axId val="127327232"/>
      </c:scatterChart>
      <c:valAx>
        <c:axId val="127325312"/>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27327232"/>
        <c:crosses val="autoZero"/>
        <c:crossBetween val="midCat"/>
      </c:valAx>
      <c:valAx>
        <c:axId val="12732723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732531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8.2381671041119639E-2"/>
                  <c:y val="-1.4363517060367481E-2"/>
                </c:manualLayout>
              </c:layout>
              <c:numFmt formatCode="General" sourceLinked="0"/>
            </c:trendlineLbl>
          </c:trendline>
          <c:xVal>
            <c:numRef>
              <c:f>'[6]Labor Results Matrix'!$AQ$375:$AQ$378</c:f>
              <c:numCache>
                <c:formatCode>General</c:formatCode>
                <c:ptCount val="4"/>
                <c:pt idx="0">
                  <c:v>260</c:v>
                </c:pt>
                <c:pt idx="1">
                  <c:v>360</c:v>
                </c:pt>
                <c:pt idx="2">
                  <c:v>500</c:v>
                </c:pt>
                <c:pt idx="3">
                  <c:v>725</c:v>
                </c:pt>
              </c:numCache>
            </c:numRef>
          </c:xVal>
          <c:yVal>
            <c:numRef>
              <c:f>'Labor Results Matrix'!$AO$270:$AO$273</c:f>
              <c:numCache>
                <c:formatCode>General</c:formatCode>
                <c:ptCount val="4"/>
                <c:pt idx="0">
                  <c:v>20</c:v>
                </c:pt>
                <c:pt idx="1">
                  <c:v>20</c:v>
                </c:pt>
                <c:pt idx="2">
                  <c:v>22.856999999999999</c:v>
                </c:pt>
                <c:pt idx="3">
                  <c:v>26.667000000000002</c:v>
                </c:pt>
              </c:numCache>
            </c:numRef>
          </c:yVal>
          <c:smooth val="0"/>
          <c:extLst>
            <c:ext xmlns:c16="http://schemas.microsoft.com/office/drawing/2014/chart" uri="{C3380CC4-5D6E-409C-BE32-E72D297353CC}">
              <c16:uniqueId val="{00000001-0E33-4111-B8C0-8DF0CA88A562}"/>
            </c:ext>
          </c:extLst>
        </c:ser>
        <c:dLbls>
          <c:showLegendKey val="0"/>
          <c:showVal val="0"/>
          <c:showCatName val="0"/>
          <c:showSerName val="0"/>
          <c:showPercent val="0"/>
          <c:showBubbleSize val="0"/>
        </c:dLbls>
        <c:axId val="127377408"/>
        <c:axId val="127379328"/>
      </c:scatterChart>
      <c:valAx>
        <c:axId val="127377408"/>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27379328"/>
        <c:crosses val="autoZero"/>
        <c:crossBetween val="midCat"/>
      </c:valAx>
      <c:valAx>
        <c:axId val="12737932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737740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404235796931322"/>
                  <c:y val="6.9620578565447525E-2"/>
                </c:manualLayout>
              </c:layout>
              <c:numFmt formatCode="General" sourceLinked="0"/>
            </c:trendlineLbl>
          </c:trendline>
          <c:xVal>
            <c:numRef>
              <c:f>('[6]Labor Results Matrix'!$AQ$159:$AQ$165,'[6]Labor Results Matrix'!$AQ$176:$AQ$186)</c:f>
              <c:numCache>
                <c:formatCode>General</c:formatCode>
                <c:ptCount val="18"/>
                <c:pt idx="0">
                  <c:v>1.5</c:v>
                </c:pt>
                <c:pt idx="1">
                  <c:v>2</c:v>
                </c:pt>
                <c:pt idx="2">
                  <c:v>2.5</c:v>
                </c:pt>
                <c:pt idx="3">
                  <c:v>3</c:v>
                </c:pt>
                <c:pt idx="4">
                  <c:v>3.5</c:v>
                </c:pt>
                <c:pt idx="5">
                  <c:v>4</c:v>
                </c:pt>
                <c:pt idx="6">
                  <c:v>5</c:v>
                </c:pt>
                <c:pt idx="7">
                  <c:v>7.5</c:v>
                </c:pt>
                <c:pt idx="8">
                  <c:v>10</c:v>
                </c:pt>
                <c:pt idx="9">
                  <c:v>15</c:v>
                </c:pt>
                <c:pt idx="10">
                  <c:v>20</c:v>
                </c:pt>
                <c:pt idx="11">
                  <c:v>25</c:v>
                </c:pt>
                <c:pt idx="12">
                  <c:v>30</c:v>
                </c:pt>
                <c:pt idx="13">
                  <c:v>40</c:v>
                </c:pt>
                <c:pt idx="14">
                  <c:v>50</c:v>
                </c:pt>
                <c:pt idx="15">
                  <c:v>60</c:v>
                </c:pt>
                <c:pt idx="16">
                  <c:v>80</c:v>
                </c:pt>
                <c:pt idx="17">
                  <c:v>100</c:v>
                </c:pt>
              </c:numCache>
            </c:numRef>
          </c:xVal>
          <c:yVal>
            <c:numRef>
              <c:f>('Labor Results Matrix'!$AO$98:$AO$104,'Labor Results Matrix'!$AO$115:$AO$125)</c:f>
              <c:numCache>
                <c:formatCode>General</c:formatCode>
                <c:ptCount val="18"/>
                <c:pt idx="0">
                  <c:v>6.4</c:v>
                </c:pt>
                <c:pt idx="1">
                  <c:v>7.6189999999999998</c:v>
                </c:pt>
                <c:pt idx="2">
                  <c:v>9.4120000000000008</c:v>
                </c:pt>
                <c:pt idx="3">
                  <c:v>12.308</c:v>
                </c:pt>
                <c:pt idx="4">
                  <c:v>14.545</c:v>
                </c:pt>
                <c:pt idx="5">
                  <c:v>17.777999999999999</c:v>
                </c:pt>
                <c:pt idx="6">
                  <c:v>26.667000000000002</c:v>
                </c:pt>
                <c:pt idx="7">
                  <c:v>29.091000000000001</c:v>
                </c:pt>
                <c:pt idx="8">
                  <c:v>32</c:v>
                </c:pt>
                <c:pt idx="9">
                  <c:v>40</c:v>
                </c:pt>
                <c:pt idx="10">
                  <c:v>60</c:v>
                </c:pt>
                <c:pt idx="11">
                  <c:v>68.570999999999998</c:v>
                </c:pt>
                <c:pt idx="12">
                  <c:v>80</c:v>
                </c:pt>
                <c:pt idx="13">
                  <c:v>120</c:v>
                </c:pt>
                <c:pt idx="14">
                  <c:v>133</c:v>
                </c:pt>
                <c:pt idx="15">
                  <c:v>150</c:v>
                </c:pt>
                <c:pt idx="16">
                  <c:v>200</c:v>
                </c:pt>
                <c:pt idx="17">
                  <c:v>266</c:v>
                </c:pt>
              </c:numCache>
            </c:numRef>
          </c:yVal>
          <c:smooth val="0"/>
          <c:extLst>
            <c:ext xmlns:c16="http://schemas.microsoft.com/office/drawing/2014/chart" uri="{C3380CC4-5D6E-409C-BE32-E72D297353CC}">
              <c16:uniqueId val="{00000001-5DE2-4722-A53C-C4DD6C98A569}"/>
            </c:ext>
          </c:extLst>
        </c:ser>
        <c:ser>
          <c:idx val="1"/>
          <c:order val="1"/>
          <c:spPr>
            <a:ln w="19050">
              <a:noFill/>
            </a:ln>
          </c:spPr>
          <c:trendline>
            <c:trendlineType val="linear"/>
            <c:dispRSqr val="0"/>
            <c:dispEq val="1"/>
            <c:trendlineLbl>
              <c:layout>
                <c:manualLayout>
                  <c:x val="8.1052649026747192E-2"/>
                  <c:y val="0.10470822929147312"/>
                </c:manualLayout>
              </c:layout>
              <c:numFmt formatCode="General" sourceLinked="0"/>
            </c:trendlineLbl>
          </c:trendline>
          <c:xVal>
            <c:numRef>
              <c:f>'[6]Labor Results Matrix'!$BG$169:$BG$170</c:f>
              <c:numCache>
                <c:formatCode>General</c:formatCode>
                <c:ptCount val="2"/>
                <c:pt idx="0">
                  <c:v>5</c:v>
                </c:pt>
                <c:pt idx="1">
                  <c:v>40</c:v>
                </c:pt>
              </c:numCache>
            </c:numRef>
          </c:xVal>
          <c:yVal>
            <c:numRef>
              <c:f>'[6]Labor Results Matrix'!$BI$169:$BI$170</c:f>
              <c:numCache>
                <c:formatCode>General</c:formatCode>
                <c:ptCount val="2"/>
                <c:pt idx="0">
                  <c:v>31.353832233535051</c:v>
                </c:pt>
                <c:pt idx="1">
                  <c:v>60.927515322209402</c:v>
                </c:pt>
              </c:numCache>
            </c:numRef>
          </c:yVal>
          <c:smooth val="0"/>
          <c:extLst>
            <c:ext xmlns:c16="http://schemas.microsoft.com/office/drawing/2014/chart" uri="{C3380CC4-5D6E-409C-BE32-E72D297353CC}">
              <c16:uniqueId val="{00000003-5DE2-4722-A53C-C4DD6C98A569}"/>
            </c:ext>
          </c:extLst>
        </c:ser>
        <c:ser>
          <c:idx val="2"/>
          <c:order val="2"/>
          <c:spPr>
            <a:ln w="19050">
              <a:noFill/>
            </a:ln>
          </c:spPr>
          <c:trendline>
            <c:trendlineType val="linear"/>
            <c:dispRSqr val="1"/>
            <c:dispEq val="1"/>
            <c:trendlineLbl>
              <c:layout>
                <c:manualLayout>
                  <c:x val="0.20591079114431132"/>
                  <c:y val="2.0049398899874817E-2"/>
                </c:manualLayout>
              </c:layout>
              <c:numFmt formatCode="General" sourceLinked="0"/>
            </c:trendlineLbl>
          </c:trendline>
          <c:xVal>
            <c:numRef>
              <c:f>'[6]Labor Results Matrix'!$BG$172:$BG$176</c:f>
              <c:numCache>
                <c:formatCode>General</c:formatCode>
                <c:ptCount val="5"/>
                <c:pt idx="0">
                  <c:v>20</c:v>
                </c:pt>
                <c:pt idx="1">
                  <c:v>20</c:v>
                </c:pt>
                <c:pt idx="2">
                  <c:v>20</c:v>
                </c:pt>
                <c:pt idx="3">
                  <c:v>70</c:v>
                </c:pt>
                <c:pt idx="4">
                  <c:v>70</c:v>
                </c:pt>
              </c:numCache>
            </c:numRef>
          </c:xVal>
          <c:yVal>
            <c:numRef>
              <c:f>'[6]Labor Results Matrix'!$BI$172:$BI$176</c:f>
              <c:numCache>
                <c:formatCode>General</c:formatCode>
                <c:ptCount val="5"/>
                <c:pt idx="0">
                  <c:v>50</c:v>
                </c:pt>
                <c:pt idx="1">
                  <c:v>53</c:v>
                </c:pt>
                <c:pt idx="2">
                  <c:v>47</c:v>
                </c:pt>
                <c:pt idx="3">
                  <c:v>70</c:v>
                </c:pt>
                <c:pt idx="4">
                  <c:v>86</c:v>
                </c:pt>
              </c:numCache>
            </c:numRef>
          </c:yVal>
          <c:smooth val="0"/>
          <c:extLst>
            <c:ext xmlns:c16="http://schemas.microsoft.com/office/drawing/2014/chart" uri="{C3380CC4-5D6E-409C-BE32-E72D297353CC}">
              <c16:uniqueId val="{00000005-5DE2-4722-A53C-C4DD6C98A569}"/>
            </c:ext>
          </c:extLst>
        </c:ser>
        <c:dLbls>
          <c:showLegendKey val="0"/>
          <c:showVal val="0"/>
          <c:showCatName val="0"/>
          <c:showSerName val="0"/>
          <c:showPercent val="0"/>
          <c:showBubbleSize val="0"/>
        </c:dLbls>
        <c:axId val="127747968"/>
        <c:axId val="127754240"/>
      </c:scatterChart>
      <c:valAx>
        <c:axId val="127747968"/>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7754240"/>
        <c:crosses val="autoZero"/>
        <c:crossBetween val="midCat"/>
      </c:valAx>
      <c:valAx>
        <c:axId val="12775424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774796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129428945793605"/>
                  <c:y val="-4.3077063283756177E-2"/>
                </c:manualLayout>
              </c:layout>
              <c:numFmt formatCode="General" sourceLinked="0"/>
            </c:trendlineLbl>
          </c:trendline>
          <c:xVal>
            <c:numRef>
              <c:f>'[6]Labor Results Matrix'!$AQ$176:$AQ$186</c:f>
              <c:numCache>
                <c:formatCode>General</c:formatCode>
                <c:ptCount val="11"/>
                <c:pt idx="0">
                  <c:v>7.5</c:v>
                </c:pt>
                <c:pt idx="1">
                  <c:v>10</c:v>
                </c:pt>
                <c:pt idx="2">
                  <c:v>15</c:v>
                </c:pt>
                <c:pt idx="3">
                  <c:v>20</c:v>
                </c:pt>
                <c:pt idx="4">
                  <c:v>25</c:v>
                </c:pt>
                <c:pt idx="5">
                  <c:v>30</c:v>
                </c:pt>
                <c:pt idx="6">
                  <c:v>40</c:v>
                </c:pt>
                <c:pt idx="7">
                  <c:v>50</c:v>
                </c:pt>
                <c:pt idx="8">
                  <c:v>60</c:v>
                </c:pt>
                <c:pt idx="9">
                  <c:v>80</c:v>
                </c:pt>
                <c:pt idx="10">
                  <c:v>100</c:v>
                </c:pt>
              </c:numCache>
            </c:numRef>
          </c:xVal>
          <c:yVal>
            <c:numRef>
              <c:f>'Labor Results Matrix'!$AO$115:$AO$125</c:f>
              <c:numCache>
                <c:formatCode>General</c:formatCode>
                <c:ptCount val="11"/>
                <c:pt idx="0">
                  <c:v>29.091000000000001</c:v>
                </c:pt>
                <c:pt idx="1">
                  <c:v>32</c:v>
                </c:pt>
                <c:pt idx="2">
                  <c:v>40</c:v>
                </c:pt>
                <c:pt idx="3">
                  <c:v>60</c:v>
                </c:pt>
                <c:pt idx="4">
                  <c:v>68.570999999999998</c:v>
                </c:pt>
                <c:pt idx="5">
                  <c:v>80</c:v>
                </c:pt>
                <c:pt idx="6">
                  <c:v>120</c:v>
                </c:pt>
                <c:pt idx="7">
                  <c:v>133</c:v>
                </c:pt>
                <c:pt idx="8">
                  <c:v>150</c:v>
                </c:pt>
                <c:pt idx="9">
                  <c:v>200</c:v>
                </c:pt>
                <c:pt idx="10">
                  <c:v>266</c:v>
                </c:pt>
              </c:numCache>
            </c:numRef>
          </c:yVal>
          <c:smooth val="0"/>
          <c:extLst>
            <c:ext xmlns:c16="http://schemas.microsoft.com/office/drawing/2014/chart" uri="{C3380CC4-5D6E-409C-BE32-E72D297353CC}">
              <c16:uniqueId val="{00000001-1DC9-4DD8-8B51-F8D23D388F02}"/>
            </c:ext>
          </c:extLst>
        </c:ser>
        <c:dLbls>
          <c:showLegendKey val="0"/>
          <c:showVal val="0"/>
          <c:showCatName val="0"/>
          <c:showSerName val="0"/>
          <c:showPercent val="0"/>
          <c:showBubbleSize val="0"/>
        </c:dLbls>
        <c:axId val="125841408"/>
        <c:axId val="125843328"/>
      </c:scatterChart>
      <c:valAx>
        <c:axId val="125841408"/>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5843328"/>
        <c:crosses val="autoZero"/>
        <c:crossBetween val="midCat"/>
      </c:valAx>
      <c:valAx>
        <c:axId val="12584332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584140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linear"/>
            <c:dispRSqr val="1"/>
            <c:dispEq val="1"/>
            <c:trendlineLbl>
              <c:layout>
                <c:manualLayout>
                  <c:x val="-0.1201200787401577"/>
                  <c:y val="2.8720107903178776E-2"/>
                </c:manualLayout>
              </c:layout>
              <c:numFmt formatCode="General" sourceLinked="0"/>
            </c:trendlineLbl>
          </c:trendline>
          <c:xVal>
            <c:numRef>
              <c:f>'[6]Labor Results Matrix'!$AQ$54:$AQ$57</c:f>
              <c:numCache>
                <c:formatCode>General</c:formatCode>
                <c:ptCount val="4"/>
                <c:pt idx="0">
                  <c:v>1.5</c:v>
                </c:pt>
                <c:pt idx="1">
                  <c:v>2</c:v>
                </c:pt>
                <c:pt idx="2">
                  <c:v>3</c:v>
                </c:pt>
                <c:pt idx="3">
                  <c:v>5</c:v>
                </c:pt>
              </c:numCache>
            </c:numRef>
          </c:xVal>
          <c:yVal>
            <c:numRef>
              <c:f>'[6]Labor Results Matrix'!$AR$54:$AR$57</c:f>
              <c:numCache>
                <c:formatCode>General</c:formatCode>
                <c:ptCount val="4"/>
                <c:pt idx="0">
                  <c:v>7.6440000000000001</c:v>
                </c:pt>
                <c:pt idx="1">
                  <c:v>8.3330000000000002</c:v>
                </c:pt>
                <c:pt idx="2">
                  <c:v>10.878</c:v>
                </c:pt>
                <c:pt idx="3">
                  <c:v>13.333</c:v>
                </c:pt>
              </c:numCache>
            </c:numRef>
          </c:yVal>
          <c:smooth val="0"/>
          <c:extLst>
            <c:ext xmlns:c16="http://schemas.microsoft.com/office/drawing/2014/chart" uri="{C3380CC4-5D6E-409C-BE32-E72D297353CC}">
              <c16:uniqueId val="{00000001-9A82-490B-9530-6D206F498744}"/>
            </c:ext>
          </c:extLst>
        </c:ser>
        <c:dLbls>
          <c:showLegendKey val="0"/>
          <c:showVal val="0"/>
          <c:showCatName val="0"/>
          <c:showSerName val="0"/>
          <c:showPercent val="0"/>
          <c:showBubbleSize val="0"/>
        </c:dLbls>
        <c:axId val="125878272"/>
        <c:axId val="125880192"/>
      </c:scatterChart>
      <c:valAx>
        <c:axId val="12587827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5880192"/>
        <c:crosses val="autoZero"/>
        <c:crossBetween val="midCat"/>
      </c:valAx>
      <c:valAx>
        <c:axId val="12588019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587827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0.15298665791776056"/>
                  <c:y val="-9.733887430737824E-3"/>
                </c:manualLayout>
              </c:layout>
              <c:numFmt formatCode="General" sourceLinked="0"/>
            </c:trendlineLbl>
          </c:trendline>
          <c:xVal>
            <c:numRef>
              <c:f>'[6]Labor Results Matrix'!$AQ$159:$AQ$165</c:f>
              <c:numCache>
                <c:formatCode>General</c:formatCode>
                <c:ptCount val="7"/>
                <c:pt idx="0">
                  <c:v>1.5</c:v>
                </c:pt>
                <c:pt idx="1">
                  <c:v>2</c:v>
                </c:pt>
                <c:pt idx="2">
                  <c:v>2.5</c:v>
                </c:pt>
                <c:pt idx="3">
                  <c:v>3</c:v>
                </c:pt>
                <c:pt idx="4">
                  <c:v>3.5</c:v>
                </c:pt>
                <c:pt idx="5">
                  <c:v>4</c:v>
                </c:pt>
                <c:pt idx="6">
                  <c:v>5</c:v>
                </c:pt>
              </c:numCache>
            </c:numRef>
          </c:xVal>
          <c:yVal>
            <c:numRef>
              <c:f>'Labor Results Matrix'!$AO$98:$AO$104</c:f>
              <c:numCache>
                <c:formatCode>General</c:formatCode>
                <c:ptCount val="7"/>
                <c:pt idx="0">
                  <c:v>6.4</c:v>
                </c:pt>
                <c:pt idx="1">
                  <c:v>7.6189999999999998</c:v>
                </c:pt>
                <c:pt idx="2">
                  <c:v>9.4120000000000008</c:v>
                </c:pt>
                <c:pt idx="3">
                  <c:v>12.308</c:v>
                </c:pt>
                <c:pt idx="4">
                  <c:v>14.545</c:v>
                </c:pt>
                <c:pt idx="5">
                  <c:v>17.777999999999999</c:v>
                </c:pt>
                <c:pt idx="6">
                  <c:v>26.667000000000002</c:v>
                </c:pt>
              </c:numCache>
            </c:numRef>
          </c:yVal>
          <c:smooth val="0"/>
          <c:extLst>
            <c:ext xmlns:c16="http://schemas.microsoft.com/office/drawing/2014/chart" uri="{C3380CC4-5D6E-409C-BE32-E72D297353CC}">
              <c16:uniqueId val="{00000001-AC04-4C9B-9620-500CE40838F7}"/>
            </c:ext>
          </c:extLst>
        </c:ser>
        <c:dLbls>
          <c:showLegendKey val="0"/>
          <c:showVal val="0"/>
          <c:showCatName val="0"/>
          <c:showSerName val="0"/>
          <c:showPercent val="0"/>
          <c:showBubbleSize val="0"/>
        </c:dLbls>
        <c:axId val="126288640"/>
        <c:axId val="126290560"/>
      </c:scatterChart>
      <c:valAx>
        <c:axId val="126288640"/>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290560"/>
        <c:crosses val="autoZero"/>
        <c:crossBetween val="midCat"/>
      </c:valAx>
      <c:valAx>
        <c:axId val="12629056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28864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Screw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'[6]Labor Results Matrix'!$AQ$194:$AQ$199</c:f>
              <c:numCache>
                <c:formatCode>General</c:formatCode>
                <c:ptCount val="6"/>
                <c:pt idx="0">
                  <c:v>130</c:v>
                </c:pt>
                <c:pt idx="1">
                  <c:v>160</c:v>
                </c:pt>
                <c:pt idx="2">
                  <c:v>180</c:v>
                </c:pt>
                <c:pt idx="3">
                  <c:v>210</c:v>
                </c:pt>
                <c:pt idx="4">
                  <c:v>270</c:v>
                </c:pt>
                <c:pt idx="5">
                  <c:v>320</c:v>
                </c:pt>
              </c:numCache>
            </c:numRef>
          </c:xVal>
          <c:yVal>
            <c:numRef>
              <c:f>'Labor Results Matrix'!$AO$133:$AO$138</c:f>
              <c:numCache>
                <c:formatCode>General</c:formatCode>
                <c:ptCount val="6"/>
                <c:pt idx="0">
                  <c:v>228</c:v>
                </c:pt>
                <c:pt idx="1">
                  <c:v>246</c:v>
                </c:pt>
                <c:pt idx="2">
                  <c:v>250</c:v>
                </c:pt>
                <c:pt idx="3">
                  <c:v>258</c:v>
                </c:pt>
                <c:pt idx="4">
                  <c:v>266</c:v>
                </c:pt>
                <c:pt idx="5">
                  <c:v>275</c:v>
                </c:pt>
              </c:numCache>
            </c:numRef>
          </c:yVal>
          <c:smooth val="0"/>
          <c:extLst>
            <c:ext xmlns:c16="http://schemas.microsoft.com/office/drawing/2014/chart" uri="{C3380CC4-5D6E-409C-BE32-E72D297353CC}">
              <c16:uniqueId val="{00000001-0741-4D5A-98EC-21FAA2186736}"/>
            </c:ext>
          </c:extLst>
        </c:ser>
        <c:dLbls>
          <c:showLegendKey val="0"/>
          <c:showVal val="0"/>
          <c:showCatName val="0"/>
          <c:showSerName val="0"/>
          <c:showPercent val="0"/>
          <c:showBubbleSize val="0"/>
        </c:dLbls>
        <c:axId val="126311424"/>
        <c:axId val="126325888"/>
      </c:scatterChart>
      <c:valAx>
        <c:axId val="126311424"/>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325888"/>
        <c:crosses val="autoZero"/>
        <c:crossBetween val="midCat"/>
      </c:valAx>
      <c:valAx>
        <c:axId val="12632588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31142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Scroll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'[6]Labor Results Matrix'!$AQ$200:$AQ$208</c:f>
              <c:numCache>
                <c:formatCode>General</c:formatCode>
                <c:ptCount val="9"/>
                <c:pt idx="0">
                  <c:v>10</c:v>
                </c:pt>
                <c:pt idx="1">
                  <c:v>15</c:v>
                </c:pt>
                <c:pt idx="2">
                  <c:v>20</c:v>
                </c:pt>
                <c:pt idx="3">
                  <c:v>25</c:v>
                </c:pt>
                <c:pt idx="4">
                  <c:v>30</c:v>
                </c:pt>
                <c:pt idx="5">
                  <c:v>35</c:v>
                </c:pt>
                <c:pt idx="6">
                  <c:v>40</c:v>
                </c:pt>
                <c:pt idx="7">
                  <c:v>45</c:v>
                </c:pt>
                <c:pt idx="8">
                  <c:v>50</c:v>
                </c:pt>
              </c:numCache>
            </c:numRef>
          </c:xVal>
          <c:yVal>
            <c:numRef>
              <c:f>'Labor Results Matrix'!$AO$139:$AO$147</c:f>
              <c:numCache>
                <c:formatCode>General</c:formatCode>
                <c:ptCount val="9"/>
                <c:pt idx="0">
                  <c:v>94.117999999999995</c:v>
                </c:pt>
                <c:pt idx="1">
                  <c:v>94.117999999999995</c:v>
                </c:pt>
                <c:pt idx="2">
                  <c:v>94.117999999999995</c:v>
                </c:pt>
                <c:pt idx="3">
                  <c:v>94.117999999999995</c:v>
                </c:pt>
                <c:pt idx="4">
                  <c:v>101</c:v>
                </c:pt>
                <c:pt idx="5">
                  <c:v>104</c:v>
                </c:pt>
                <c:pt idx="6">
                  <c:v>108</c:v>
                </c:pt>
                <c:pt idx="7">
                  <c:v>109</c:v>
                </c:pt>
                <c:pt idx="8">
                  <c:v>113</c:v>
                </c:pt>
              </c:numCache>
            </c:numRef>
          </c:yVal>
          <c:smooth val="0"/>
          <c:extLst>
            <c:ext xmlns:c16="http://schemas.microsoft.com/office/drawing/2014/chart" uri="{C3380CC4-5D6E-409C-BE32-E72D297353CC}">
              <c16:uniqueId val="{00000001-5AB8-4F1F-81BB-6BC7A65298F6}"/>
            </c:ext>
          </c:extLst>
        </c:ser>
        <c:dLbls>
          <c:showLegendKey val="0"/>
          <c:showVal val="0"/>
          <c:showCatName val="0"/>
          <c:showSerName val="0"/>
          <c:showPercent val="0"/>
          <c:showBubbleSize val="0"/>
        </c:dLbls>
        <c:axId val="126632320"/>
        <c:axId val="126634240"/>
      </c:scatterChart>
      <c:valAx>
        <c:axId val="126632320"/>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634240"/>
        <c:crosses val="autoZero"/>
        <c:crossBetween val="midCat"/>
      </c:valAx>
      <c:valAx>
        <c:axId val="12663424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63232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Screw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'[6]Labor Results Matrix'!$AQ$219:$AQ$225</c:f>
              <c:numCache>
                <c:formatCode>General</c:formatCode>
                <c:ptCount val="7"/>
                <c:pt idx="0">
                  <c:v>80</c:v>
                </c:pt>
                <c:pt idx="1">
                  <c:v>100</c:v>
                </c:pt>
                <c:pt idx="2">
                  <c:v>150</c:v>
                </c:pt>
                <c:pt idx="3">
                  <c:v>200</c:v>
                </c:pt>
                <c:pt idx="4">
                  <c:v>250</c:v>
                </c:pt>
                <c:pt idx="5">
                  <c:v>300</c:v>
                </c:pt>
                <c:pt idx="6">
                  <c:v>350</c:v>
                </c:pt>
              </c:numCache>
            </c:numRef>
          </c:xVal>
          <c:yVal>
            <c:numRef>
              <c:f>'Labor Results Matrix'!$AO$158:$AO$164</c:f>
              <c:numCache>
                <c:formatCode>General</c:formatCode>
                <c:ptCount val="7"/>
                <c:pt idx="0">
                  <c:v>223</c:v>
                </c:pt>
                <c:pt idx="1">
                  <c:v>230</c:v>
                </c:pt>
                <c:pt idx="2">
                  <c:v>240</c:v>
                </c:pt>
                <c:pt idx="3">
                  <c:v>251</c:v>
                </c:pt>
                <c:pt idx="4">
                  <c:v>260</c:v>
                </c:pt>
                <c:pt idx="5">
                  <c:v>266</c:v>
                </c:pt>
                <c:pt idx="6">
                  <c:v>275</c:v>
                </c:pt>
              </c:numCache>
            </c:numRef>
          </c:yVal>
          <c:smooth val="0"/>
          <c:extLst>
            <c:ext xmlns:c16="http://schemas.microsoft.com/office/drawing/2014/chart" uri="{C3380CC4-5D6E-409C-BE32-E72D297353CC}">
              <c16:uniqueId val="{00000001-D0AE-477C-9692-A63910065CBE}"/>
            </c:ext>
          </c:extLst>
        </c:ser>
        <c:dLbls>
          <c:showLegendKey val="0"/>
          <c:showVal val="0"/>
          <c:showCatName val="0"/>
          <c:showSerName val="0"/>
          <c:showPercent val="0"/>
          <c:showBubbleSize val="0"/>
        </c:dLbls>
        <c:axId val="126655488"/>
        <c:axId val="126661760"/>
      </c:scatterChart>
      <c:valAx>
        <c:axId val="126655488"/>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661760"/>
        <c:crosses val="autoZero"/>
        <c:crossBetween val="midCat"/>
      </c:valAx>
      <c:valAx>
        <c:axId val="12666176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65548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Scroll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'[6]Labor Results Matrix'!$AQ$226:$AQ$233</c:f>
              <c:numCache>
                <c:formatCode>General</c:formatCode>
                <c:ptCount val="8"/>
                <c:pt idx="0">
                  <c:v>2</c:v>
                </c:pt>
                <c:pt idx="1">
                  <c:v>5</c:v>
                </c:pt>
                <c:pt idx="2">
                  <c:v>6</c:v>
                </c:pt>
                <c:pt idx="3">
                  <c:v>8</c:v>
                </c:pt>
                <c:pt idx="4">
                  <c:v>10</c:v>
                </c:pt>
                <c:pt idx="5">
                  <c:v>15</c:v>
                </c:pt>
                <c:pt idx="6">
                  <c:v>20</c:v>
                </c:pt>
                <c:pt idx="7">
                  <c:v>30</c:v>
                </c:pt>
              </c:numCache>
            </c:numRef>
          </c:xVal>
          <c:yVal>
            <c:numRef>
              <c:f>'Labor Results Matrix'!$AO$165:$AO$172</c:f>
              <c:numCache>
                <c:formatCode>General</c:formatCode>
                <c:ptCount val="8"/>
                <c:pt idx="0">
                  <c:v>28.07</c:v>
                </c:pt>
                <c:pt idx="1">
                  <c:v>28.07</c:v>
                </c:pt>
                <c:pt idx="2">
                  <c:v>38.005000000000003</c:v>
                </c:pt>
                <c:pt idx="3">
                  <c:v>52.116999999999997</c:v>
                </c:pt>
                <c:pt idx="4">
                  <c:v>67.039000000000001</c:v>
                </c:pt>
                <c:pt idx="5">
                  <c:v>72.727000000000004</c:v>
                </c:pt>
                <c:pt idx="6">
                  <c:v>83.99</c:v>
                </c:pt>
                <c:pt idx="7">
                  <c:v>96.096000000000004</c:v>
                </c:pt>
              </c:numCache>
            </c:numRef>
          </c:yVal>
          <c:smooth val="0"/>
          <c:extLst>
            <c:ext xmlns:c16="http://schemas.microsoft.com/office/drawing/2014/chart" uri="{C3380CC4-5D6E-409C-BE32-E72D297353CC}">
              <c16:uniqueId val="{00000001-D030-4784-B3E5-C519C85B0F93}"/>
            </c:ext>
          </c:extLst>
        </c:ser>
        <c:dLbls>
          <c:showLegendKey val="0"/>
          <c:showVal val="0"/>
          <c:showCatName val="0"/>
          <c:showSerName val="0"/>
          <c:showPercent val="0"/>
          <c:showBubbleSize val="0"/>
        </c:dLbls>
        <c:axId val="126694912"/>
        <c:axId val="126696832"/>
      </c:scatterChart>
      <c:valAx>
        <c:axId val="12669491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26696832"/>
        <c:crosses val="autoZero"/>
        <c:crossBetween val="midCat"/>
      </c:valAx>
      <c:valAx>
        <c:axId val="12669683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2669491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28</xdr:col>
      <xdr:colOff>41462</xdr:colOff>
      <xdr:row>97</xdr:row>
      <xdr:rowOff>19050</xdr:rowOff>
    </xdr:from>
    <xdr:to>
      <xdr:col>28</xdr:col>
      <xdr:colOff>4986842</xdr:colOff>
      <xdr:row>110</xdr:row>
      <xdr:rowOff>142876</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36550787" y="98812350"/>
          <a:ext cx="4945380" cy="2600326"/>
        </a:xfrm>
        <a:prstGeom prst="rect">
          <a:avLst/>
        </a:prstGeom>
      </xdr:spPr>
    </xdr:pic>
    <xdr:clientData/>
  </xdr:twoCellAnchor>
  <xdr:twoCellAnchor editAs="oneCell">
    <xdr:from>
      <xdr:col>28</xdr:col>
      <xdr:colOff>49305</xdr:colOff>
      <xdr:row>6</xdr:row>
      <xdr:rowOff>30816</xdr:rowOff>
    </xdr:from>
    <xdr:to>
      <xdr:col>28</xdr:col>
      <xdr:colOff>4964206</xdr:colOff>
      <xdr:row>20</xdr:row>
      <xdr:rowOff>115641</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6558630" y="2145366"/>
          <a:ext cx="4914901" cy="2751825"/>
        </a:xfrm>
        <a:prstGeom prst="rect">
          <a:avLst/>
        </a:prstGeom>
      </xdr:spPr>
    </xdr:pic>
    <xdr:clientData/>
  </xdr:twoCellAnchor>
  <xdr:twoCellAnchor editAs="oneCell">
    <xdr:from>
      <xdr:col>28</xdr:col>
      <xdr:colOff>44823</xdr:colOff>
      <xdr:row>57</xdr:row>
      <xdr:rowOff>56030</xdr:rowOff>
    </xdr:from>
    <xdr:to>
      <xdr:col>28</xdr:col>
      <xdr:colOff>5439783</xdr:colOff>
      <xdr:row>74</xdr:row>
      <xdr:rowOff>60065</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cstate="print"/>
        <a:stretch>
          <a:fillRect/>
        </a:stretch>
      </xdr:blipFill>
      <xdr:spPr>
        <a:xfrm>
          <a:off x="36554148" y="11752730"/>
          <a:ext cx="5394960" cy="3252060"/>
        </a:xfrm>
        <a:prstGeom prst="rect">
          <a:avLst/>
        </a:prstGeom>
      </xdr:spPr>
    </xdr:pic>
    <xdr:clientData/>
  </xdr:twoCellAnchor>
  <xdr:twoCellAnchor editAs="oneCell">
    <xdr:from>
      <xdr:col>28</xdr:col>
      <xdr:colOff>56027</xdr:colOff>
      <xdr:row>29</xdr:row>
      <xdr:rowOff>44823</xdr:rowOff>
    </xdr:from>
    <xdr:to>
      <xdr:col>28</xdr:col>
      <xdr:colOff>5450987</xdr:colOff>
      <xdr:row>44</xdr:row>
      <xdr:rowOff>151503</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cstate="print"/>
        <a:stretch>
          <a:fillRect/>
        </a:stretch>
      </xdr:blipFill>
      <xdr:spPr>
        <a:xfrm>
          <a:off x="36565352" y="6474198"/>
          <a:ext cx="5394960" cy="2964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28</xdr:col>
          <xdr:colOff>487680</xdr:colOff>
          <xdr:row>381</xdr:row>
          <xdr:rowOff>0</xdr:rowOff>
        </xdr:from>
        <xdr:to>
          <xdr:col>28</xdr:col>
          <xdr:colOff>1821180</xdr:colOff>
          <xdr:row>386</xdr:row>
          <xdr:rowOff>38100</xdr:rowOff>
        </xdr:to>
        <xdr:sp macro="" textlink="">
          <xdr:nvSpPr>
            <xdr:cNvPr id="440321" name="Object 1" hidden="1">
              <a:extLst>
                <a:ext uri="{63B3BB69-23CF-44E3-9099-C40C66FF867C}">
                  <a14:compatExt spid="_x0000_s440321"/>
                </a:ext>
                <a:ext uri="{FF2B5EF4-FFF2-40B4-BE49-F238E27FC236}">
                  <a16:creationId xmlns:a16="http://schemas.microsoft.com/office/drawing/2014/main" id="{00000000-0008-0000-1B00-000001B8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495300</xdr:colOff>
          <xdr:row>381</xdr:row>
          <xdr:rowOff>0</xdr:rowOff>
        </xdr:from>
        <xdr:to>
          <xdr:col>28</xdr:col>
          <xdr:colOff>1821180</xdr:colOff>
          <xdr:row>386</xdr:row>
          <xdr:rowOff>38100</xdr:rowOff>
        </xdr:to>
        <xdr:sp macro="" textlink="">
          <xdr:nvSpPr>
            <xdr:cNvPr id="440322" name="Object 2" hidden="1">
              <a:extLst>
                <a:ext uri="{63B3BB69-23CF-44E3-9099-C40C66FF867C}">
                  <a14:compatExt spid="_x0000_s440322"/>
                </a:ext>
                <a:ext uri="{FF2B5EF4-FFF2-40B4-BE49-F238E27FC236}">
                  <a16:creationId xmlns:a16="http://schemas.microsoft.com/office/drawing/2014/main" id="{00000000-0008-0000-1B00-000002B8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518160</xdr:colOff>
          <xdr:row>381</xdr:row>
          <xdr:rowOff>0</xdr:rowOff>
        </xdr:from>
        <xdr:to>
          <xdr:col>28</xdr:col>
          <xdr:colOff>1798320</xdr:colOff>
          <xdr:row>386</xdr:row>
          <xdr:rowOff>22860</xdr:rowOff>
        </xdr:to>
        <xdr:sp macro="" textlink="">
          <xdr:nvSpPr>
            <xdr:cNvPr id="440323" name="Object 3" hidden="1">
              <a:extLst>
                <a:ext uri="{63B3BB69-23CF-44E3-9099-C40C66FF867C}">
                  <a14:compatExt spid="_x0000_s440323"/>
                </a:ext>
                <a:ext uri="{FF2B5EF4-FFF2-40B4-BE49-F238E27FC236}">
                  <a16:creationId xmlns:a16="http://schemas.microsoft.com/office/drawing/2014/main" id="{00000000-0008-0000-1B00-000003B8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487680</xdr:colOff>
          <xdr:row>94</xdr:row>
          <xdr:rowOff>0</xdr:rowOff>
        </xdr:from>
        <xdr:to>
          <xdr:col>28</xdr:col>
          <xdr:colOff>1714500</xdr:colOff>
          <xdr:row>98</xdr:row>
          <xdr:rowOff>45720</xdr:rowOff>
        </xdr:to>
        <xdr:sp macro="" textlink="">
          <xdr:nvSpPr>
            <xdr:cNvPr id="440324" name="Object 4" hidden="1">
              <a:extLst>
                <a:ext uri="{63B3BB69-23CF-44E3-9099-C40C66FF867C}">
                  <a14:compatExt spid="_x0000_s440324"/>
                </a:ext>
                <a:ext uri="{FF2B5EF4-FFF2-40B4-BE49-F238E27FC236}">
                  <a16:creationId xmlns:a16="http://schemas.microsoft.com/office/drawing/2014/main" id="{00000000-0008-0000-1B00-000004B8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46</xdr:col>
      <xdr:colOff>28014</xdr:colOff>
      <xdr:row>4</xdr:row>
      <xdr:rowOff>0</xdr:rowOff>
    </xdr:from>
    <xdr:to>
      <xdr:col>55</xdr:col>
      <xdr:colOff>530679</xdr:colOff>
      <xdr:row>15</xdr:row>
      <xdr:rowOff>54429</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606136</xdr:colOff>
      <xdr:row>16</xdr:row>
      <xdr:rowOff>1483</xdr:rowOff>
    </xdr:from>
    <xdr:to>
      <xdr:col>55</xdr:col>
      <xdr:colOff>545521</xdr:colOff>
      <xdr:row>33</xdr:row>
      <xdr:rowOff>74220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595512</xdr:colOff>
      <xdr:row>104</xdr:row>
      <xdr:rowOff>240447</xdr:rowOff>
    </xdr:from>
    <xdr:to>
      <xdr:col>55</xdr:col>
      <xdr:colOff>530678</xdr:colOff>
      <xdr:row>122</xdr:row>
      <xdr:rowOff>95250</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0</xdr:colOff>
      <xdr:row>35</xdr:row>
      <xdr:rowOff>227237</xdr:rowOff>
    </xdr:from>
    <xdr:to>
      <xdr:col>55</xdr:col>
      <xdr:colOff>557894</xdr:colOff>
      <xdr:row>53</xdr:row>
      <xdr:rowOff>163285</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46</xdr:col>
      <xdr:colOff>517072</xdr:colOff>
      <xdr:row>92</xdr:row>
      <xdr:rowOff>0</xdr:rowOff>
    </xdr:from>
    <xdr:to>
      <xdr:col>54</xdr:col>
      <xdr:colOff>190501</xdr:colOff>
      <xdr:row>104</xdr:row>
      <xdr:rowOff>221796</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0</xdr:colOff>
      <xdr:row>131</xdr:row>
      <xdr:rowOff>0</xdr:rowOff>
    </xdr:from>
    <xdr:to>
      <xdr:col>55</xdr:col>
      <xdr:colOff>547487</xdr:colOff>
      <xdr:row>148</xdr:row>
      <xdr:rowOff>31697</xdr:rowOff>
    </xdr:to>
    <xdr:graphicFrame macro="">
      <xdr:nvGraphicFramePr>
        <xdr:cNvPr id="8" name="Chart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51</xdr:col>
      <xdr:colOff>481853</xdr:colOff>
      <xdr:row>131</xdr:row>
      <xdr:rowOff>0</xdr:rowOff>
    </xdr:from>
    <xdr:to>
      <xdr:col>60</xdr:col>
      <xdr:colOff>449836</xdr:colOff>
      <xdr:row>148</xdr:row>
      <xdr:rowOff>31697</xdr:rowOff>
    </xdr:to>
    <xdr:graphicFrame macro="">
      <xdr:nvGraphicFramePr>
        <xdr:cNvPr id="9" name="Chart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0</xdr:colOff>
      <xdr:row>157</xdr:row>
      <xdr:rowOff>0</xdr:rowOff>
    </xdr:from>
    <xdr:to>
      <xdr:col>55</xdr:col>
      <xdr:colOff>547487</xdr:colOff>
      <xdr:row>174</xdr:row>
      <xdr:rowOff>99732</xdr:rowOff>
    </xdr:to>
    <xdr:graphicFrame macro="">
      <xdr:nvGraphicFramePr>
        <xdr:cNvPr id="10" name="Chart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51</xdr:col>
      <xdr:colOff>470647</xdr:colOff>
      <xdr:row>156</xdr:row>
      <xdr:rowOff>168088</xdr:rowOff>
    </xdr:from>
    <xdr:to>
      <xdr:col>60</xdr:col>
      <xdr:colOff>438630</xdr:colOff>
      <xdr:row>174</xdr:row>
      <xdr:rowOff>77320</xdr:rowOff>
    </xdr:to>
    <xdr:graphicFrame macro="">
      <xdr:nvGraphicFramePr>
        <xdr:cNvPr id="11" name="Chart 10">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55</xdr:col>
      <xdr:colOff>67235</xdr:colOff>
      <xdr:row>157</xdr:row>
      <xdr:rowOff>22412</xdr:rowOff>
    </xdr:from>
    <xdr:to>
      <xdr:col>63</xdr:col>
      <xdr:colOff>215313</xdr:colOff>
      <xdr:row>174</xdr:row>
      <xdr:rowOff>122144</xdr:rowOff>
    </xdr:to>
    <xdr:graphicFrame macro="">
      <xdr:nvGraphicFramePr>
        <xdr:cNvPr id="12" name="Chart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47</xdr:col>
      <xdr:colOff>13608</xdr:colOff>
      <xdr:row>182</xdr:row>
      <xdr:rowOff>-1</xdr:rowOff>
    </xdr:from>
    <xdr:to>
      <xdr:col>55</xdr:col>
      <xdr:colOff>517072</xdr:colOff>
      <xdr:row>196</xdr:row>
      <xdr:rowOff>13607</xdr:rowOff>
    </xdr:to>
    <xdr:graphicFrame macro="">
      <xdr:nvGraphicFramePr>
        <xdr:cNvPr id="13" name="Chart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47</xdr:col>
      <xdr:colOff>18409</xdr:colOff>
      <xdr:row>197</xdr:row>
      <xdr:rowOff>0</xdr:rowOff>
    </xdr:from>
    <xdr:to>
      <xdr:col>54</xdr:col>
      <xdr:colOff>310562</xdr:colOff>
      <xdr:row>206</xdr:row>
      <xdr:rowOff>78441</xdr:rowOff>
    </xdr:to>
    <xdr:graphicFrame macro="">
      <xdr:nvGraphicFramePr>
        <xdr:cNvPr id="14" name="Chart 13">
          <a:extLst>
            <a:ext uri="{FF2B5EF4-FFF2-40B4-BE49-F238E27FC236}">
              <a16:creationId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11206</xdr:colOff>
      <xdr:row>207</xdr:row>
      <xdr:rowOff>22412</xdr:rowOff>
    </xdr:from>
    <xdr:to>
      <xdr:col>54</xdr:col>
      <xdr:colOff>324972</xdr:colOff>
      <xdr:row>216</xdr:row>
      <xdr:rowOff>0</xdr:rowOff>
    </xdr:to>
    <xdr:graphicFrame macro="">
      <xdr:nvGraphicFramePr>
        <xdr:cNvPr id="15" name="Chart 14">
          <a:extLst>
            <a:ext uri="{FF2B5EF4-FFF2-40B4-BE49-F238E27FC236}">
              <a16:creationId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27215</xdr:colOff>
      <xdr:row>216</xdr:row>
      <xdr:rowOff>0</xdr:rowOff>
    </xdr:from>
    <xdr:to>
      <xdr:col>54</xdr:col>
      <xdr:colOff>312965</xdr:colOff>
      <xdr:row>229</xdr:row>
      <xdr:rowOff>153760</xdr:rowOff>
    </xdr:to>
    <xdr:graphicFrame macro="">
      <xdr:nvGraphicFramePr>
        <xdr:cNvPr id="17" name="Chart 16">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47</xdr:col>
      <xdr:colOff>0</xdr:colOff>
      <xdr:row>237</xdr:row>
      <xdr:rowOff>0</xdr:rowOff>
    </xdr:from>
    <xdr:to>
      <xdr:col>55</xdr:col>
      <xdr:colOff>95250</xdr:colOff>
      <xdr:row>237</xdr:row>
      <xdr:rowOff>68036</xdr:rowOff>
    </xdr:to>
    <xdr:graphicFrame macro="">
      <xdr:nvGraphicFramePr>
        <xdr:cNvPr id="18" name="Chart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47</xdr:col>
      <xdr:colOff>0</xdr:colOff>
      <xdr:row>238</xdr:row>
      <xdr:rowOff>0</xdr:rowOff>
    </xdr:from>
    <xdr:to>
      <xdr:col>55</xdr:col>
      <xdr:colOff>95250</xdr:colOff>
      <xdr:row>248</xdr:row>
      <xdr:rowOff>217715</xdr:rowOff>
    </xdr:to>
    <xdr:graphicFrame macro="">
      <xdr:nvGraphicFramePr>
        <xdr:cNvPr id="19" name="Chart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44</xdr:col>
      <xdr:colOff>369794</xdr:colOff>
      <xdr:row>259</xdr:row>
      <xdr:rowOff>281667</xdr:rowOff>
    </xdr:from>
    <xdr:to>
      <xdr:col>52</xdr:col>
      <xdr:colOff>50427</xdr:colOff>
      <xdr:row>274</xdr:row>
      <xdr:rowOff>58510</xdr:rowOff>
    </xdr:to>
    <xdr:graphicFrame macro="">
      <xdr:nvGraphicFramePr>
        <xdr:cNvPr id="20" name="Chart 19">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46</xdr:col>
      <xdr:colOff>1</xdr:colOff>
      <xdr:row>70</xdr:row>
      <xdr:rowOff>1</xdr:rowOff>
    </xdr:from>
    <xdr:to>
      <xdr:col>55</xdr:col>
      <xdr:colOff>89648</xdr:colOff>
      <xdr:row>81</xdr:row>
      <xdr:rowOff>1</xdr:rowOff>
    </xdr:to>
    <xdr:graphicFrame macro="">
      <xdr:nvGraphicFramePr>
        <xdr:cNvPr id="24" name="Chart 23">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46</xdr:col>
      <xdr:colOff>0</xdr:colOff>
      <xdr:row>82</xdr:row>
      <xdr:rowOff>0</xdr:rowOff>
    </xdr:from>
    <xdr:to>
      <xdr:col>55</xdr:col>
      <xdr:colOff>11206</xdr:colOff>
      <xdr:row>91</xdr:row>
      <xdr:rowOff>156882</xdr:rowOff>
    </xdr:to>
    <xdr:graphicFrame macro="">
      <xdr:nvGraphicFramePr>
        <xdr:cNvPr id="25" name="Chart 24">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47</xdr:col>
      <xdr:colOff>504265</xdr:colOff>
      <xdr:row>70</xdr:row>
      <xdr:rowOff>33617</xdr:rowOff>
    </xdr:from>
    <xdr:to>
      <xdr:col>56</xdr:col>
      <xdr:colOff>593912</xdr:colOff>
      <xdr:row>81</xdr:row>
      <xdr:rowOff>33617</xdr:rowOff>
    </xdr:to>
    <xdr:graphicFrame macro="">
      <xdr:nvGraphicFramePr>
        <xdr:cNvPr id="26" name="Chart 25">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46</xdr:col>
      <xdr:colOff>0</xdr:colOff>
      <xdr:row>56</xdr:row>
      <xdr:rowOff>1</xdr:rowOff>
    </xdr:from>
    <xdr:to>
      <xdr:col>55</xdr:col>
      <xdr:colOff>425824</xdr:colOff>
      <xdr:row>68</xdr:row>
      <xdr:rowOff>168089</xdr:rowOff>
    </xdr:to>
    <xdr:graphicFrame macro="">
      <xdr:nvGraphicFramePr>
        <xdr:cNvPr id="27" name="Chart 26">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47</xdr:col>
      <xdr:colOff>425824</xdr:colOff>
      <xdr:row>56</xdr:row>
      <xdr:rowOff>0</xdr:rowOff>
    </xdr:from>
    <xdr:to>
      <xdr:col>57</xdr:col>
      <xdr:colOff>246531</xdr:colOff>
      <xdr:row>68</xdr:row>
      <xdr:rowOff>168088</xdr:rowOff>
    </xdr:to>
    <xdr:graphicFrame macro="">
      <xdr:nvGraphicFramePr>
        <xdr:cNvPr id="28" name="Chart 27">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49</xdr:col>
      <xdr:colOff>168088</xdr:colOff>
      <xdr:row>259</xdr:row>
      <xdr:rowOff>291353</xdr:rowOff>
    </xdr:from>
    <xdr:to>
      <xdr:col>56</xdr:col>
      <xdr:colOff>453839</xdr:colOff>
      <xdr:row>274</xdr:row>
      <xdr:rowOff>68196</xdr:rowOff>
    </xdr:to>
    <xdr:graphicFrame macro="">
      <xdr:nvGraphicFramePr>
        <xdr:cNvPr id="29" name="Chart 28">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48</xdr:col>
      <xdr:colOff>336177</xdr:colOff>
      <xdr:row>105</xdr:row>
      <xdr:rowOff>22412</xdr:rowOff>
    </xdr:from>
    <xdr:to>
      <xdr:col>57</xdr:col>
      <xdr:colOff>304160</xdr:colOff>
      <xdr:row>122</xdr:row>
      <xdr:rowOff>109897</xdr:rowOff>
    </xdr:to>
    <xdr:graphicFrame macro="">
      <xdr:nvGraphicFramePr>
        <xdr:cNvPr id="30" name="Chart 29">
          <a:extLst>
            <a:ext uri="{FF2B5EF4-FFF2-40B4-BE49-F238E27FC236}">
              <a16:creationId xmlns:a16="http://schemas.microsoft.com/office/drawing/2014/main" id="{00000000-0008-0000-1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arques\AppData\Local\Microsoft\Windows\INetCache\IE\9BY7RDRZ\ComCookingConvectionOven_v2_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arques\AppData\Local\Microsoft\Windows\INetCache\IE\JNZN7R78\EStarRoomACv1_0%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iroaks1\all_proj\0501%20DEER%20Measure%20Cost%20Study\Data%20Collection\HVAC\CostRecordingForm-m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barques\AppData\Local\Microsoft\Windows\INetCache\IE\9BY7RDRZ\ResLighting_Bulbs_v4_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dA_TRM_MCS_Comparis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CPUC1012\P12862_MeasureCostStudy\Deliverables\Task%209%20DEER%20Integration\MCS%20Results%20Matrix%20-%20Volume%20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on%20Lighting%20Incremental_Cost_Itron%20Recomendations%20WORKING%20041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dA_TRM_MCS_Comparison%20ItronWORKING_0309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easureTable"/>
      <sheetName val="Measure_InputOutput"/>
      <sheetName val="LookupTable"/>
      <sheetName val="ValidationLists"/>
      <sheetName val="SavingsData&amp;Analysis"/>
      <sheetName val="FSTC Qualifying Equipment"/>
      <sheetName val="CostData&amp;Analysis"/>
    </sheetNames>
    <sheetDataSet>
      <sheetData sheetId="0"/>
      <sheetData sheetId="1"/>
      <sheetData sheetId="2"/>
      <sheetData sheetId="3"/>
      <sheetData sheetId="4">
        <row r="4">
          <cell r="F4" t="str">
            <v>Pre-Conditions</v>
          </cell>
        </row>
        <row r="5">
          <cell r="F5" t="str">
            <v>Current Practice</v>
          </cell>
        </row>
        <row r="6">
          <cell r="F6" t="str">
            <v>Pre-Conditions and Current Practice</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 Summary"/>
      <sheetName val="MeasureTable"/>
      <sheetName val="ProData"/>
      <sheetName val="WAC"/>
      <sheetName val="Window AC"/>
      <sheetName val="EER vs Price - 2005"/>
      <sheetName val="EER vs Price - 2006"/>
      <sheetName val="LookupTable"/>
      <sheetName val="Levelized Cost Note"/>
      <sheetName val="Bug List"/>
    </sheetNames>
    <sheetDataSet>
      <sheetData sheetId="0"/>
      <sheetData sheetId="1"/>
      <sheetData sheetId="2"/>
      <sheetData sheetId="3"/>
      <sheetData sheetId="4"/>
      <sheetData sheetId="5">
        <row r="17">
          <cell r="U17">
            <v>0</v>
          </cell>
        </row>
        <row r="18">
          <cell r="U18">
            <v>2.9129370195808867E-2</v>
          </cell>
        </row>
        <row r="19">
          <cell r="U19">
            <v>7.057436190202762</v>
          </cell>
        </row>
      </sheetData>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_descr"/>
      <sheetName val="contactlog"/>
      <sheetName val="measurecost"/>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nergySavingsMethodology"/>
      <sheetName val="NotesOnCategorization"/>
      <sheetName val="MeasureTable"/>
      <sheetName val="ProData"/>
      <sheetName val="Measure_InputOutput_ShortTerm"/>
      <sheetName val="Measure_InputOutput_LongTerm"/>
      <sheetName val="LookupTable"/>
      <sheetName val="Results"/>
      <sheetName val="Parameters"/>
      <sheetName val="ShelfAndSalesData"/>
      <sheetName val="LampCharacteristicsAndMktShare"/>
      <sheetName val="NonresParticipants"/>
      <sheetName val="EISA and IRL Standards"/>
      <sheetName val="RBSA HOUandConditionedSpace"/>
      <sheetName val="Mapping"/>
      <sheetName val="HVAC"/>
      <sheetName val="Lifetime"/>
      <sheetName val="EnergyStar QPL"/>
      <sheetName val="Baseline Replacement Model"/>
      <sheetName val="Baseline Replacement_StoredLamp"/>
      <sheetName val="SavingsAndCostAdjustments"/>
      <sheetName val="MeasureAssembly"/>
      <sheetName val="ValidationLists"/>
      <sheetName val="ProgramData"/>
      <sheetName val="EISA Compliance in CA"/>
      <sheetName val="ProCost 6th Plan Inputs"/>
      <sheetName val="Levelized Cost Note"/>
      <sheetName val="Proble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_MCS_measures"/>
      <sheetName val="Comm_MidATRM_Mini Ductless HP"/>
      <sheetName val="Res_MidATRM_Mini Ductless HP"/>
      <sheetName val="IL_TRM Mini Split HP"/>
      <sheetName val="NavigantDuctlessMINISplit"/>
      <sheetName val="O&amp;M_Benefits"/>
      <sheetName val="Inflation"/>
      <sheetName val="Chillers_sidebyside_analysis"/>
      <sheetName val="MidA_LED_Ext_Luminaire_IMC"/>
      <sheetName val="MidA_TRM_Res_SB_LED_IMC"/>
      <sheetName val="MidA_OD_Area_Road_LED_IMC"/>
      <sheetName val="CA_IOU_LED"/>
      <sheetName val="CA_IOU_LF"/>
      <sheetName val="CA_IOU_Ref"/>
      <sheetName val="CA_IOU_Chillers"/>
      <sheetName val="CA_IOU_HVAC"/>
      <sheetName val="RTF_RoomAC_IMC"/>
      <sheetName val="RTF_Direct_Install_Res_SH"/>
      <sheetName val="RTF_Res_HP_Water_Heater"/>
      <sheetName val="RTF_Comm_Elct_Convection_Oven"/>
      <sheetName val="RTF_Electric_Fryer_IMC"/>
      <sheetName val="RTF_Res_Screw_In_Lamps"/>
      <sheetName val="IL TRM IMC T5"/>
      <sheetName val="IL TRM IMC T8s"/>
      <sheetName val="Navigant_VFD_IMC"/>
      <sheetName val="NavigantLEDRefrigCase_IMC"/>
      <sheetName val="Navigant_NG_Fryer_IMC"/>
      <sheetName val="Navigant_Evap_Fan_Control_IMC"/>
      <sheetName val="NavigantChillers_IMC "/>
      <sheetName val="NavigantTanklessWH_IMC"/>
      <sheetName val="NavigantCommercialUnitaryAC_IMC"/>
      <sheetName val="NavigantCommLtgCont_IMC"/>
      <sheetName val="NavigantGasConvectionOven_IMC"/>
      <sheetName val="NavigantAirSourceHP_IMC"/>
      <sheetName val="AC air-cooled Calculations"/>
      <sheetName val="AC-Water Cooled Calculations"/>
      <sheetName val="Com Heat Pump - Air Cooled"/>
      <sheetName val="AC- Evaporatively Cooled"/>
      <sheetName val="TRM Res HP Air Source  IC  "/>
      <sheetName val="TRM Comm Unitary HVAC IC"/>
      <sheetName val="RES_Air Source Heat Pump Calcs"/>
      <sheetName val="4 ft. T8 Replacement"/>
      <sheetName val="T5 - Lighting"/>
      <sheetName val="Efficient Fan Motor"/>
      <sheetName val="Occupancy Sensor"/>
      <sheetName val="RES_Specialty_CFL_lamp"/>
      <sheetName val="RES_General_Purpose_CFL_lamp"/>
      <sheetName val="Clothes Washer_RES_TOS"/>
      <sheetName val="Clothes Washer_RES_ER"/>
      <sheetName val="Clothes Washer - Com"/>
      <sheetName val="Refrigerator_Calulations"/>
      <sheetName val="RES_Heat_Pump_WH_Calcs"/>
      <sheetName val="RES_Small_Gas_WH_Calcs"/>
      <sheetName val="Elec_Chillers_TRM_IMC"/>
      <sheetName val="Chillers_side_by_side"/>
      <sheetName val="Elct_Water_Chillers_Calcs"/>
      <sheetName val="Elct_Water_Chillers_ER"/>
      <sheetName val="Elct_air_cooled Chillers_Calcs"/>
      <sheetName val="Elct_air_cooled Chillers_ER"/>
      <sheetName val="VFD_Calculations"/>
      <sheetName val="Room_AC_Calculations"/>
    </sheetNames>
    <sheetDataSet>
      <sheetData sheetId="0" refreshError="1"/>
      <sheetData sheetId="1" refreshError="1"/>
      <sheetData sheetId="2" refreshError="1"/>
      <sheetData sheetId="3" refreshError="1"/>
      <sheetData sheetId="4" refreshError="1"/>
      <sheetData sheetId="5" refreshError="1"/>
      <sheetData sheetId="6" refreshError="1">
        <row r="3">
          <cell r="D3">
            <v>1.0580898589999999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5">
          <cell r="C25">
            <v>3030.6636701998304</v>
          </cell>
          <cell r="D25">
            <v>2104.5516701998304</v>
          </cell>
          <cell r="E25">
            <v>1806.2436701998304</v>
          </cell>
          <cell r="F25">
            <v>2690.4156701998304</v>
          </cell>
          <cell r="G25">
            <v>1764.3036701998303</v>
          </cell>
          <cell r="H25">
            <v>1465.9956701998303</v>
          </cell>
          <cell r="I25">
            <v>3168.0156701998303</v>
          </cell>
          <cell r="J25">
            <v>2241.9036701998302</v>
          </cell>
          <cell r="K25">
            <v>1943.5956701998305</v>
          </cell>
          <cell r="L25">
            <v>2827.7676701998307</v>
          </cell>
          <cell r="M25">
            <v>1901.6556701998304</v>
          </cell>
          <cell r="N25">
            <v>1603.3476701998304</v>
          </cell>
        </row>
      </sheetData>
      <sheetData sheetId="6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dex"/>
      <sheetName val="Equipment Results Matrix"/>
      <sheetName val="Labor Results Matrix"/>
      <sheetName val="Equipment + Labor"/>
    </sheetNames>
    <sheetDataSet>
      <sheetData sheetId="0"/>
      <sheetData sheetId="1"/>
      <sheetData sheetId="2">
        <row r="28">
          <cell r="R28">
            <v>38.908299999999997</v>
          </cell>
        </row>
        <row r="29">
          <cell r="R29">
            <v>202.93140589999999</v>
          </cell>
        </row>
        <row r="30">
          <cell r="R30">
            <v>8.4808667573724428</v>
          </cell>
        </row>
        <row r="33">
          <cell r="R33">
            <v>7.2902044222783751</v>
          </cell>
        </row>
        <row r="35">
          <cell r="T35">
            <v>-400.44664540000002</v>
          </cell>
        </row>
        <row r="37">
          <cell r="R37">
            <v>18.746784967266784</v>
          </cell>
        </row>
        <row r="39">
          <cell r="R39">
            <v>-5.0418693224089406</v>
          </cell>
        </row>
        <row r="48">
          <cell r="R48">
            <v>78.060123726879169</v>
          </cell>
        </row>
        <row r="56">
          <cell r="R56">
            <v>28.898790300000002</v>
          </cell>
        </row>
        <row r="57">
          <cell r="R57">
            <v>233.54923170000001</v>
          </cell>
        </row>
        <row r="58">
          <cell r="R58">
            <v>17.133721632748557</v>
          </cell>
        </row>
        <row r="60">
          <cell r="R60">
            <v>10.616473626279944</v>
          </cell>
        </row>
        <row r="63">
          <cell r="T63">
            <v>-342.06644469999998</v>
          </cell>
        </row>
        <row r="65">
          <cell r="R65">
            <v>16.223078900199383</v>
          </cell>
        </row>
        <row r="69">
          <cell r="R69">
            <v>22.596118120579714</v>
          </cell>
        </row>
        <row r="79">
          <cell r="R79">
            <v>28.923545812402505</v>
          </cell>
        </row>
        <row r="82">
          <cell r="R82">
            <v>98.599987415461428</v>
          </cell>
        </row>
        <row r="91">
          <cell r="R91">
            <v>-50.750938484739429</v>
          </cell>
        </row>
      </sheetData>
      <sheetData sheetId="3">
        <row r="16">
          <cell r="AQ16">
            <v>45</v>
          </cell>
        </row>
        <row r="17">
          <cell r="AQ17">
            <v>75</v>
          </cell>
        </row>
        <row r="18">
          <cell r="AQ18">
            <v>100</v>
          </cell>
        </row>
        <row r="19">
          <cell r="AQ19">
            <v>120</v>
          </cell>
        </row>
        <row r="20">
          <cell r="AQ20">
            <v>125</v>
          </cell>
        </row>
        <row r="21">
          <cell r="AQ21">
            <v>150</v>
          </cell>
        </row>
        <row r="22">
          <cell r="AQ22">
            <v>45</v>
          </cell>
        </row>
        <row r="23">
          <cell r="AQ23">
            <v>60</v>
          </cell>
        </row>
        <row r="24">
          <cell r="AQ24">
            <v>70</v>
          </cell>
        </row>
        <row r="25">
          <cell r="AQ25">
            <v>90</v>
          </cell>
        </row>
        <row r="26">
          <cell r="AQ26">
            <v>110</v>
          </cell>
        </row>
        <row r="35">
          <cell r="AQ35">
            <v>2</v>
          </cell>
          <cell r="AR35">
            <v>20</v>
          </cell>
        </row>
        <row r="36">
          <cell r="AQ36">
            <v>2.5</v>
          </cell>
          <cell r="AR36">
            <v>25</v>
          </cell>
        </row>
        <row r="37">
          <cell r="AQ37">
            <v>3</v>
          </cell>
          <cell r="AR37">
            <v>30.476300000000002</v>
          </cell>
        </row>
        <row r="38">
          <cell r="AQ38">
            <v>4</v>
          </cell>
          <cell r="AR38">
            <v>50</v>
          </cell>
        </row>
        <row r="39">
          <cell r="AQ39">
            <v>5</v>
          </cell>
          <cell r="AR39">
            <v>80</v>
          </cell>
        </row>
        <row r="54">
          <cell r="AQ54">
            <v>1.5</v>
          </cell>
          <cell r="AR54">
            <v>7.6440000000000001</v>
          </cell>
        </row>
        <row r="55">
          <cell r="AQ55">
            <v>2</v>
          </cell>
          <cell r="AR55">
            <v>8.3330000000000002</v>
          </cell>
        </row>
        <row r="56">
          <cell r="AQ56">
            <v>3</v>
          </cell>
          <cell r="AR56">
            <v>10.878</v>
          </cell>
        </row>
        <row r="57">
          <cell r="AQ57">
            <v>5</v>
          </cell>
          <cell r="AR57">
            <v>13.333</v>
          </cell>
        </row>
        <row r="66">
          <cell r="AR66">
            <v>0.125</v>
          </cell>
        </row>
        <row r="67">
          <cell r="AR67">
            <v>0.16666666666666666</v>
          </cell>
        </row>
        <row r="68">
          <cell r="AR68">
            <v>0.5</v>
          </cell>
        </row>
        <row r="69">
          <cell r="AR69">
            <v>0.75</v>
          </cell>
        </row>
        <row r="70">
          <cell r="AR70">
            <v>1.5</v>
          </cell>
        </row>
        <row r="71">
          <cell r="AR71">
            <v>0.25</v>
          </cell>
        </row>
        <row r="72">
          <cell r="AR72">
            <v>0.33333333333333331</v>
          </cell>
        </row>
        <row r="73">
          <cell r="AR73">
            <v>0.75</v>
          </cell>
        </row>
        <row r="74">
          <cell r="AR74">
            <v>1</v>
          </cell>
        </row>
        <row r="81">
          <cell r="AQ81">
            <v>15</v>
          </cell>
        </row>
        <row r="82">
          <cell r="AQ82">
            <v>20</v>
          </cell>
        </row>
        <row r="83">
          <cell r="AQ83">
            <v>30</v>
          </cell>
        </row>
        <row r="84">
          <cell r="AQ84">
            <v>40</v>
          </cell>
        </row>
        <row r="85">
          <cell r="AQ85">
            <v>50</v>
          </cell>
        </row>
        <row r="86">
          <cell r="AQ86">
            <v>60</v>
          </cell>
        </row>
        <row r="87">
          <cell r="AQ87">
            <v>75</v>
          </cell>
        </row>
        <row r="88">
          <cell r="AQ88">
            <v>100</v>
          </cell>
        </row>
        <row r="89">
          <cell r="AQ89">
            <v>150</v>
          </cell>
        </row>
        <row r="90">
          <cell r="AQ90">
            <v>200</v>
          </cell>
        </row>
        <row r="92">
          <cell r="AQ92">
            <v>3</v>
          </cell>
        </row>
        <row r="93">
          <cell r="AQ93">
            <v>5</v>
          </cell>
        </row>
        <row r="94">
          <cell r="AQ94">
            <v>7.5</v>
          </cell>
        </row>
        <row r="95">
          <cell r="AQ95">
            <v>10</v>
          </cell>
        </row>
        <row r="159">
          <cell r="AQ159">
            <v>1.5</v>
          </cell>
        </row>
        <row r="160">
          <cell r="AQ160">
            <v>2</v>
          </cell>
        </row>
        <row r="161">
          <cell r="AQ161">
            <v>2.5</v>
          </cell>
        </row>
        <row r="162">
          <cell r="AQ162">
            <v>3</v>
          </cell>
        </row>
        <row r="163">
          <cell r="AQ163">
            <v>3.5</v>
          </cell>
        </row>
        <row r="164">
          <cell r="AQ164">
            <v>4</v>
          </cell>
        </row>
        <row r="165">
          <cell r="AQ165">
            <v>5</v>
          </cell>
        </row>
        <row r="169">
          <cell r="BG169">
            <v>5</v>
          </cell>
          <cell r="BI169">
            <v>31.353832233535051</v>
          </cell>
        </row>
        <row r="170">
          <cell r="BG170">
            <v>40</v>
          </cell>
          <cell r="BI170">
            <v>60.927515322209402</v>
          </cell>
        </row>
        <row r="172">
          <cell r="BG172">
            <v>20</v>
          </cell>
          <cell r="BI172">
            <v>50</v>
          </cell>
        </row>
        <row r="173">
          <cell r="BG173">
            <v>20</v>
          </cell>
          <cell r="BI173">
            <v>53</v>
          </cell>
        </row>
        <row r="174">
          <cell r="BG174">
            <v>20</v>
          </cell>
          <cell r="BI174">
            <v>47</v>
          </cell>
        </row>
        <row r="175">
          <cell r="BG175">
            <v>70</v>
          </cell>
          <cell r="BI175">
            <v>70</v>
          </cell>
        </row>
        <row r="176">
          <cell r="AQ176">
            <v>7.5</v>
          </cell>
          <cell r="BG176">
            <v>70</v>
          </cell>
          <cell r="BI176">
            <v>86</v>
          </cell>
        </row>
        <row r="177">
          <cell r="AQ177">
            <v>10</v>
          </cell>
        </row>
        <row r="178">
          <cell r="AQ178">
            <v>15</v>
          </cell>
        </row>
        <row r="179">
          <cell r="AQ179">
            <v>20</v>
          </cell>
        </row>
        <row r="180">
          <cell r="AQ180">
            <v>25</v>
          </cell>
        </row>
        <row r="181">
          <cell r="AQ181">
            <v>30</v>
          </cell>
        </row>
        <row r="182">
          <cell r="AQ182">
            <v>40</v>
          </cell>
        </row>
        <row r="183">
          <cell r="AQ183">
            <v>50</v>
          </cell>
        </row>
        <row r="184">
          <cell r="AQ184">
            <v>60</v>
          </cell>
        </row>
        <row r="185">
          <cell r="AQ185">
            <v>80</v>
          </cell>
        </row>
        <row r="186">
          <cell r="AQ186">
            <v>100</v>
          </cell>
        </row>
        <row r="194">
          <cell r="AQ194">
            <v>130</v>
          </cell>
        </row>
        <row r="195">
          <cell r="AQ195">
            <v>160</v>
          </cell>
        </row>
        <row r="196">
          <cell r="AQ196">
            <v>180</v>
          </cell>
        </row>
        <row r="197">
          <cell r="AQ197">
            <v>210</v>
          </cell>
        </row>
        <row r="198">
          <cell r="AQ198">
            <v>270</v>
          </cell>
        </row>
        <row r="199">
          <cell r="AQ199">
            <v>320</v>
          </cell>
        </row>
        <row r="200">
          <cell r="AQ200">
            <v>10</v>
          </cell>
        </row>
        <row r="201">
          <cell r="AQ201">
            <v>15</v>
          </cell>
        </row>
        <row r="202">
          <cell r="AQ202">
            <v>20</v>
          </cell>
        </row>
        <row r="203">
          <cell r="AQ203">
            <v>25</v>
          </cell>
        </row>
        <row r="204">
          <cell r="AQ204">
            <v>30</v>
          </cell>
        </row>
        <row r="205">
          <cell r="AQ205">
            <v>35</v>
          </cell>
        </row>
        <row r="206">
          <cell r="AQ206">
            <v>40</v>
          </cell>
        </row>
        <row r="207">
          <cell r="AQ207">
            <v>45</v>
          </cell>
        </row>
        <row r="208">
          <cell r="AQ208">
            <v>50</v>
          </cell>
        </row>
        <row r="219">
          <cell r="AQ219">
            <v>80</v>
          </cell>
        </row>
        <row r="220">
          <cell r="AQ220">
            <v>100</v>
          </cell>
        </row>
        <row r="221">
          <cell r="AQ221">
            <v>150</v>
          </cell>
        </row>
        <row r="222">
          <cell r="AQ222">
            <v>200</v>
          </cell>
        </row>
        <row r="223">
          <cell r="AQ223">
            <v>250</v>
          </cell>
        </row>
        <row r="224">
          <cell r="AQ224">
            <v>300</v>
          </cell>
        </row>
        <row r="225">
          <cell r="AQ225">
            <v>350</v>
          </cell>
        </row>
        <row r="226">
          <cell r="AQ226">
            <v>2</v>
          </cell>
        </row>
        <row r="227">
          <cell r="AQ227">
            <v>5</v>
          </cell>
        </row>
        <row r="228">
          <cell r="AQ228">
            <v>6</v>
          </cell>
        </row>
        <row r="229">
          <cell r="AQ229">
            <v>8</v>
          </cell>
        </row>
        <row r="230">
          <cell r="AQ230">
            <v>10</v>
          </cell>
        </row>
        <row r="231">
          <cell r="AQ231">
            <v>15</v>
          </cell>
        </row>
        <row r="232">
          <cell r="AQ232">
            <v>20</v>
          </cell>
        </row>
        <row r="233">
          <cell r="AQ233">
            <v>30</v>
          </cell>
        </row>
        <row r="234">
          <cell r="AQ234">
            <v>400</v>
          </cell>
        </row>
        <row r="235">
          <cell r="AQ235">
            <v>600</v>
          </cell>
        </row>
        <row r="236">
          <cell r="AQ236">
            <v>800</v>
          </cell>
        </row>
        <row r="237">
          <cell r="AQ237">
            <v>1000</v>
          </cell>
        </row>
        <row r="238">
          <cell r="AQ238">
            <v>1200</v>
          </cell>
        </row>
        <row r="239">
          <cell r="AQ239">
            <v>1400</v>
          </cell>
        </row>
        <row r="240">
          <cell r="AQ240">
            <v>1600</v>
          </cell>
        </row>
        <row r="241">
          <cell r="AQ241">
            <v>1800</v>
          </cell>
        </row>
        <row r="242">
          <cell r="AQ242">
            <v>2000</v>
          </cell>
        </row>
        <row r="243">
          <cell r="AQ243">
            <v>2500</v>
          </cell>
        </row>
        <row r="274">
          <cell r="AQ274">
            <v>7.5</v>
          </cell>
        </row>
        <row r="275">
          <cell r="AQ275">
            <v>10</v>
          </cell>
        </row>
        <row r="276">
          <cell r="AQ276">
            <v>15</v>
          </cell>
        </row>
        <row r="277">
          <cell r="AQ277">
            <v>20</v>
          </cell>
        </row>
        <row r="312">
          <cell r="AQ312">
            <v>30</v>
          </cell>
        </row>
        <row r="313">
          <cell r="AQ313">
            <v>40</v>
          </cell>
        </row>
        <row r="314">
          <cell r="AQ314">
            <v>50</v>
          </cell>
        </row>
        <row r="315">
          <cell r="AQ315">
            <v>60</v>
          </cell>
        </row>
        <row r="316">
          <cell r="AQ316">
            <v>75</v>
          </cell>
        </row>
        <row r="317">
          <cell r="AQ317">
            <v>100</v>
          </cell>
        </row>
        <row r="333">
          <cell r="AQ333">
            <v>20</v>
          </cell>
        </row>
        <row r="334">
          <cell r="AQ334">
            <v>30</v>
          </cell>
        </row>
        <row r="335">
          <cell r="AQ335">
            <v>40</v>
          </cell>
        </row>
        <row r="336">
          <cell r="AQ336">
            <v>52</v>
          </cell>
        </row>
        <row r="337">
          <cell r="AQ337">
            <v>66</v>
          </cell>
        </row>
        <row r="338">
          <cell r="AQ338">
            <v>80</v>
          </cell>
        </row>
        <row r="339">
          <cell r="AQ339">
            <v>120</v>
          </cell>
        </row>
        <row r="344">
          <cell r="AQ344">
            <v>3.2</v>
          </cell>
        </row>
        <row r="345">
          <cell r="AQ345">
            <v>6.4</v>
          </cell>
        </row>
        <row r="346">
          <cell r="AQ346">
            <v>8.4</v>
          </cell>
        </row>
        <row r="347">
          <cell r="AQ347">
            <v>9.5</v>
          </cell>
        </row>
        <row r="366">
          <cell r="AQ366">
            <v>75</v>
          </cell>
        </row>
        <row r="367">
          <cell r="AQ367">
            <v>98</v>
          </cell>
        </row>
        <row r="368">
          <cell r="AQ368">
            <v>120</v>
          </cell>
        </row>
        <row r="369">
          <cell r="AQ369">
            <v>120</v>
          </cell>
        </row>
        <row r="370">
          <cell r="AQ370">
            <v>140</v>
          </cell>
        </row>
        <row r="371">
          <cell r="AQ371">
            <v>155</v>
          </cell>
        </row>
        <row r="372">
          <cell r="AQ372">
            <v>180</v>
          </cell>
        </row>
        <row r="373">
          <cell r="AQ373">
            <v>200</v>
          </cell>
        </row>
        <row r="374">
          <cell r="AQ374">
            <v>250</v>
          </cell>
        </row>
        <row r="375">
          <cell r="AQ375">
            <v>260</v>
          </cell>
        </row>
        <row r="376">
          <cell r="AQ376">
            <v>360</v>
          </cell>
        </row>
        <row r="377">
          <cell r="AQ377">
            <v>500</v>
          </cell>
        </row>
        <row r="378">
          <cell r="AQ378">
            <v>725</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ummary"/>
      <sheetName val="Inflation"/>
      <sheetName val="Labor Adjustment"/>
      <sheetName val="HVAC_Regression_Coefficients "/>
      <sheetName val="Comm ASHP Calculator"/>
      <sheetName val="RES_ASHP_Calculator"/>
      <sheetName val="Comm AC Calculator"/>
      <sheetName val="Res Central AC Calculator"/>
      <sheetName val="Elec_Water_Chillers_BGE"/>
      <sheetName val="Elec_Air_Chillers_BGE"/>
      <sheetName val="Refrigerator_BGE_IMC"/>
      <sheetName val="Res_Clothes_Washer_BGE "/>
      <sheetName val="VFD_EmPOWER_IMC"/>
      <sheetName val="Res ASHP_EmPOWER_IMC"/>
      <sheetName val="RES_Central_Air_EmPOWER_IMC"/>
      <sheetName val="Res_HPWH_EmPOWER_IMC"/>
      <sheetName val="Comm_ASHP_EmPOWER"/>
      <sheetName val="Comm_AC_EmPOWER_IMC"/>
      <sheetName val="Clothes Washer_RES_TOS"/>
      <sheetName val="Clothes Washer_RES_ER"/>
      <sheetName val="VFD_Calculations"/>
      <sheetName val="RES_Heat_Pump_WH_Calcs"/>
      <sheetName val="MidA_CentralAC_Residential"/>
      <sheetName val="Res_CondensingFurnace_IMC"/>
      <sheetName val="Res_CondensingFurnace_DOE"/>
      <sheetName val="Comm_MidATRM_Mini Ductless HP"/>
      <sheetName val="Res_MidATRM_Mini Ductless HP"/>
      <sheetName val="IL_TRM Mini Split HP"/>
      <sheetName val="NavigantDuctlessMiniSplit"/>
      <sheetName val="CA_IOU_Ref"/>
      <sheetName val="CA_IOU_Chillers"/>
      <sheetName val="CA_IOU_HVAC"/>
      <sheetName val="RTF_RoomAC_IMC"/>
      <sheetName val="RTF_Direct_Install_Res_SH"/>
      <sheetName val="RTF_Res_HP_Water_Heater"/>
      <sheetName val="RTF_Comm_Elct_Convection_Oven"/>
      <sheetName val="RTF Ground_Source_HP"/>
      <sheetName val="RTF_Electric_Fryer_IMC"/>
      <sheetName val="Navigant_ResCentralAC"/>
      <sheetName val="Navigant_VFD_IMC"/>
      <sheetName val="Navigant_NG_Fryer_IMC"/>
      <sheetName val="Navigant_Evap_Fan_Control_IMC"/>
      <sheetName val="NavigantChillers_IMC "/>
      <sheetName val="NavigantTanklessWH_IMC"/>
      <sheetName val="NavigantCommercialUnitaryAC_IMC"/>
      <sheetName val="NavigantGasConvectionOven_IMC"/>
      <sheetName val="NavigantAirSourceHP_IMC"/>
      <sheetName val="AC air-cooled Calculations"/>
      <sheetName val="Com Heat Pump - Air Cooled"/>
      <sheetName val="TRM Res HP Air Source  IC  "/>
      <sheetName val="TRM Comm Unitary HVAC IC"/>
      <sheetName val="Efficient Fan Motor"/>
      <sheetName val="Refrigerator_Calulations"/>
      <sheetName val="RES_Small_Gas_WH_Calcs"/>
      <sheetName val="Elec_Chillers_TRM_IMC"/>
      <sheetName val="Elct_Water_Chillers_Calcs"/>
      <sheetName val="Chillers_sidebyside_analysis"/>
      <sheetName val="Elct_Water_Chillers_ER"/>
      <sheetName val="Elct_air_cooled Chillers_Calcs"/>
      <sheetName val="Elct_air_cooled Chillers_ER"/>
      <sheetName val="Room_AC_Calculations"/>
    </sheetNames>
    <sheetDataSet>
      <sheetData sheetId="0"/>
      <sheetData sheetId="1">
        <row r="3">
          <cell r="D3">
            <v>1.0781935663209998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e Recs"/>
      <sheetName val="TRM_MCS_measures"/>
      <sheetName val="Comm ASHP Caclulator"/>
      <sheetName val="Comm AC Caclulator"/>
      <sheetName val="Res_Clothes_Washer_BGE "/>
      <sheetName val="Com_Clo_Washer_BGE_Catagories"/>
      <sheetName val="VFD_EmPOWER_Catagores"/>
      <sheetName val="Res ASHP_EmPOWER_IMC"/>
      <sheetName val="RES_Central_Air_EmPOWER_IMC"/>
      <sheetName val="Res_HPWH_EmPOWER_IMC"/>
      <sheetName val="Comm_ASHP_EmPOWER"/>
      <sheetName val="Comm_AC_EmPOWER_IMC"/>
      <sheetName val="MidA_CentralAC_Residentail"/>
      <sheetName val="Res_Central_AC"/>
      <sheetName val="O&amp;M_Benefits"/>
      <sheetName val="Comm_MidATRM_Mini Ductless HP"/>
      <sheetName val="Res_MidATRM_Mini Ductless HP"/>
      <sheetName val="IL_TRM Mini Split HP"/>
      <sheetName val="NavigantDuctlessMINISplit"/>
      <sheetName val="Inflation"/>
      <sheetName val="MidA_LED_Ext_Luminaire_IMC"/>
      <sheetName val="MidA_TRM_Res_SB_LED_IMC"/>
      <sheetName val="MidA_OD_Area_Road_LED_IMC"/>
      <sheetName val="CA_IOU_LED"/>
      <sheetName val="CA_IOU_LF"/>
      <sheetName val="CA_IOU_Ref"/>
      <sheetName val="CA_IOU_Chillers"/>
      <sheetName val="CA_IOU_HVAC"/>
      <sheetName val="RTF_RoomAC_IMC"/>
      <sheetName val="RTF_Direct_Install_Res_SH"/>
      <sheetName val="RTF_Res_HP_Water_Heater"/>
      <sheetName val="RTF_Comm_Elct_Convection_Oven"/>
      <sheetName val="RTF Ground_Source_HP"/>
      <sheetName val="RTF_Electric_Fryer_IMC"/>
      <sheetName val="RTF_Res_Screw_In_Lamps"/>
      <sheetName val="IL TRM IMC T5"/>
      <sheetName val="IL TRM IMC T8s"/>
      <sheetName val="Navigant_ResCentralAC"/>
      <sheetName val="Navigant_VFD_IMC"/>
      <sheetName val="NavigantLEDRefrigCase_IMC"/>
      <sheetName val="Navigant_NG_Fryer_IMC"/>
      <sheetName val="Navigant_Evap_Fan_Control_IMC"/>
      <sheetName val="NavigantChillers_IMC "/>
      <sheetName val="NavigantTanklessWH_IMC"/>
      <sheetName val="NavigantCommercialUnitaryAC_IMC"/>
      <sheetName val="NavigantCommLtgCont_IMC"/>
      <sheetName val="NavigantGasConvectionOven_IMC"/>
      <sheetName val="NavigantAirSourceHP_IMC"/>
      <sheetName val="AC air-cooled Calculations"/>
      <sheetName val="AC-Water Cooled Calculations"/>
      <sheetName val="Com Heat Pump - Air Cooled"/>
      <sheetName val="AC- Evaporatively Cooled"/>
      <sheetName val="TRM Res HP Air Source  IC  "/>
      <sheetName val="TRM Comm Unitary HVAC IC"/>
      <sheetName val="RES_Air Source Heat Pump Calcs"/>
      <sheetName val="4 ft. T8 Replacement"/>
      <sheetName val="T5 - Lighting"/>
      <sheetName val="Efficient Fan Motor"/>
      <sheetName val="Occupancy Sensor"/>
      <sheetName val="RES_Specialty_CFL_lamp"/>
      <sheetName val="RES_General_Purpose_CFL_lamp"/>
      <sheetName val="Clothes Washer_RES_TOS"/>
      <sheetName val="Clothes Washer_RES_ER"/>
      <sheetName val="Clothes Washer - Com"/>
      <sheetName val="Refrigerator_Calulations"/>
      <sheetName val="Refridgerator_lifetime_IMC"/>
      <sheetName val="RES_Heat_Pump_WH_Calcs"/>
      <sheetName val="RES_Small_Gas_WH_Calcs"/>
      <sheetName val="Elec_Chillers_TRM_IMC"/>
      <sheetName val="Elct_Water_Chillers_Calcs"/>
      <sheetName val="Elec__Water_Chillers_EmPOWER"/>
      <sheetName val="Elec__Air_Chillers_EmPOWER"/>
      <sheetName val="Chillers_sidebyside_analysis"/>
      <sheetName val="Elct_Water_Chillers_ER"/>
      <sheetName val="Elct_air_cooled Chillers_Calcs"/>
      <sheetName val="Elct_air_cooled Chillers_ER"/>
      <sheetName val="VFD_Calculations"/>
      <sheetName val="Room_AC_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D3">
            <v>1.0580898589999999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4.vml"/><Relationship Id="rId7" Type="http://schemas.openxmlformats.org/officeDocument/2006/relationships/image" Target="../media/image2.emf"/><Relationship Id="rId12" Type="http://schemas.openxmlformats.org/officeDocument/2006/relationships/comments" Target="../comments4.xml"/><Relationship Id="rId2" Type="http://schemas.openxmlformats.org/officeDocument/2006/relationships/drawing" Target="../drawings/drawing1.xml"/><Relationship Id="rId1" Type="http://schemas.openxmlformats.org/officeDocument/2006/relationships/printerSettings" Target="../printerSettings/printerSettings20.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hyperlink" Target="https://www.regulations.gov/document?D=EERE-2014-BT-STD-0031-02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V55"/>
  <sheetViews>
    <sheetView topLeftCell="A18" zoomScale="40" zoomScaleNormal="40" workbookViewId="0">
      <selection activeCell="D19" sqref="D19:D20"/>
    </sheetView>
  </sheetViews>
  <sheetFormatPr defaultColWidth="9.109375" defaultRowHeight="14.4"/>
  <cols>
    <col min="1" max="1" width="30.88671875" style="33" customWidth="1"/>
    <col min="2" max="2" width="86.88671875" style="33" customWidth="1"/>
    <col min="3" max="3" width="55.33203125" style="33" hidden="1" customWidth="1"/>
    <col min="4" max="4" width="49" style="33" customWidth="1"/>
    <col min="5" max="5" width="46.5546875" style="33" customWidth="1"/>
    <col min="6" max="7" width="59.5546875" style="33" customWidth="1"/>
    <col min="8" max="8" width="31.33203125" style="33" customWidth="1"/>
    <col min="9" max="9" width="45.33203125" style="33" customWidth="1"/>
    <col min="10" max="10" width="124.88671875" style="33" customWidth="1"/>
    <col min="11" max="16384" width="9.109375" style="33"/>
  </cols>
  <sheetData>
    <row r="1" spans="1:22" ht="46.2" customHeight="1">
      <c r="A1" s="1716" t="s">
        <v>0</v>
      </c>
      <c r="B1" s="1717" t="s">
        <v>1820</v>
      </c>
      <c r="C1" s="1717"/>
      <c r="D1" s="1717"/>
      <c r="E1" s="1717" t="s">
        <v>1822</v>
      </c>
      <c r="F1" s="1717"/>
      <c r="G1" s="1717"/>
      <c r="H1" s="1717" t="s">
        <v>1823</v>
      </c>
      <c r="I1" s="1717"/>
      <c r="J1" s="1717" t="s">
        <v>2</v>
      </c>
    </row>
    <row r="2" spans="1:22" ht="114" customHeight="1">
      <c r="A2" s="1716"/>
      <c r="B2" s="1544" t="s">
        <v>1821</v>
      </c>
      <c r="C2" s="1544" t="s">
        <v>372</v>
      </c>
      <c r="D2" s="1544" t="s">
        <v>1825</v>
      </c>
      <c r="E2" s="1544" t="s">
        <v>380</v>
      </c>
      <c r="F2" s="1544" t="s">
        <v>1787</v>
      </c>
      <c r="G2" s="1544" t="s">
        <v>1788</v>
      </c>
      <c r="H2" s="1544" t="s">
        <v>1824</v>
      </c>
      <c r="I2" s="1544" t="s">
        <v>146</v>
      </c>
      <c r="J2" s="1717"/>
    </row>
    <row r="3" spans="1:22" ht="150" customHeight="1">
      <c r="A3" s="1545" t="s">
        <v>388</v>
      </c>
      <c r="B3" s="1545" t="s">
        <v>518</v>
      </c>
      <c r="C3" s="1545" t="s">
        <v>373</v>
      </c>
      <c r="D3" s="1545" t="s">
        <v>575</v>
      </c>
      <c r="E3" s="1545" t="s">
        <v>387</v>
      </c>
      <c r="F3" s="1525" t="s">
        <v>178</v>
      </c>
      <c r="G3" s="1525" t="s">
        <v>371</v>
      </c>
      <c r="H3" s="1531" t="s">
        <v>22</v>
      </c>
      <c r="I3" s="1703" t="s">
        <v>58</v>
      </c>
      <c r="J3" s="1522" t="s">
        <v>291</v>
      </c>
    </row>
    <row r="4" spans="1:22" ht="150" customHeight="1">
      <c r="A4" s="1545" t="s">
        <v>389</v>
      </c>
      <c r="B4" s="1545" t="s">
        <v>519</v>
      </c>
      <c r="C4" s="1545" t="s">
        <v>373</v>
      </c>
      <c r="D4" s="1545" t="s">
        <v>575</v>
      </c>
      <c r="E4" s="1545" t="s">
        <v>588</v>
      </c>
      <c r="F4" s="1525" t="s">
        <v>390</v>
      </c>
      <c r="G4" s="1525" t="s">
        <v>22</v>
      </c>
      <c r="H4" s="1531"/>
      <c r="I4" s="1704"/>
      <c r="J4" s="1522"/>
    </row>
    <row r="5" spans="1:22" ht="150" customHeight="1">
      <c r="A5" s="1545" t="s">
        <v>59</v>
      </c>
      <c r="B5" s="1545" t="s">
        <v>780</v>
      </c>
      <c r="C5" s="1545" t="s">
        <v>381</v>
      </c>
      <c r="D5" s="1545" t="s">
        <v>779</v>
      </c>
      <c r="E5" s="1545" t="s">
        <v>558</v>
      </c>
      <c r="F5" s="1525" t="s">
        <v>1</v>
      </c>
      <c r="G5" s="1525" t="s">
        <v>318</v>
      </c>
      <c r="H5" s="1522" t="s">
        <v>22</v>
      </c>
      <c r="I5" s="1533" t="s">
        <v>179</v>
      </c>
      <c r="J5" s="1522" t="s">
        <v>292</v>
      </c>
      <c r="V5" s="33">
        <f>477+477+244</f>
        <v>1198</v>
      </c>
    </row>
    <row r="6" spans="1:22" ht="150" customHeight="1">
      <c r="A6" s="1545" t="s">
        <v>338</v>
      </c>
      <c r="B6" s="1545" t="s">
        <v>1851</v>
      </c>
      <c r="C6" s="1545" t="s">
        <v>374</v>
      </c>
      <c r="D6" s="1564" t="s">
        <v>1843</v>
      </c>
      <c r="E6" s="1545" t="s">
        <v>587</v>
      </c>
      <c r="F6" s="1527" t="s">
        <v>304</v>
      </c>
      <c r="G6" s="1529" t="s">
        <v>325</v>
      </c>
      <c r="H6" s="1531" t="s">
        <v>22</v>
      </c>
      <c r="I6" s="1534" t="s">
        <v>1778</v>
      </c>
      <c r="J6" s="1522" t="s">
        <v>296</v>
      </c>
    </row>
    <row r="7" spans="1:22" ht="211.2" customHeight="1">
      <c r="A7" s="1545" t="s">
        <v>375</v>
      </c>
      <c r="B7" s="1545" t="s">
        <v>1850</v>
      </c>
      <c r="C7" s="1545" t="s">
        <v>376</v>
      </c>
      <c r="D7" s="1546" t="s">
        <v>1845</v>
      </c>
      <c r="E7" s="1545" t="s">
        <v>587</v>
      </c>
      <c r="F7" s="1700" t="s">
        <v>1944</v>
      </c>
      <c r="G7" s="1535" t="s">
        <v>397</v>
      </c>
      <c r="H7" s="1531" t="s">
        <v>22</v>
      </c>
      <c r="I7" s="1534" t="s">
        <v>1778</v>
      </c>
      <c r="J7" s="1522" t="s">
        <v>419</v>
      </c>
    </row>
    <row r="8" spans="1:22" ht="241.5" customHeight="1">
      <c r="A8" s="1545" t="s">
        <v>383</v>
      </c>
      <c r="B8" s="1545" t="s">
        <v>559</v>
      </c>
      <c r="C8" s="1545" t="s">
        <v>384</v>
      </c>
      <c r="D8" s="1545" t="s">
        <v>539</v>
      </c>
      <c r="E8" s="1545" t="s">
        <v>589</v>
      </c>
      <c r="F8" s="1529" t="s">
        <v>385</v>
      </c>
      <c r="G8" s="1529" t="s">
        <v>386</v>
      </c>
      <c r="H8" s="1531" t="s">
        <v>22</v>
      </c>
      <c r="I8" s="1531" t="s">
        <v>22</v>
      </c>
      <c r="J8" s="1522"/>
    </row>
    <row r="9" spans="1:22" ht="312" customHeight="1">
      <c r="A9" s="1545" t="s">
        <v>339</v>
      </c>
      <c r="B9" s="1545" t="s">
        <v>560</v>
      </c>
      <c r="C9" s="1545" t="s">
        <v>377</v>
      </c>
      <c r="D9" s="1545" t="s">
        <v>561</v>
      </c>
      <c r="E9" s="1545" t="s">
        <v>587</v>
      </c>
      <c r="F9" s="1623" t="s">
        <v>1880</v>
      </c>
      <c r="G9" s="1526" t="s">
        <v>407</v>
      </c>
      <c r="H9" s="1536" t="s">
        <v>22</v>
      </c>
      <c r="I9" s="1531" t="s">
        <v>22</v>
      </c>
      <c r="J9" s="1537" t="s">
        <v>392</v>
      </c>
      <c r="K9" s="113"/>
      <c r="L9" s="113"/>
      <c r="M9" s="113"/>
      <c r="N9" s="113"/>
      <c r="O9" s="113"/>
    </row>
    <row r="10" spans="1:22" ht="150" customHeight="1">
      <c r="A10" s="1545" t="s">
        <v>566</v>
      </c>
      <c r="B10" s="1545" t="s">
        <v>565</v>
      </c>
      <c r="C10" s="1545" t="s">
        <v>563</v>
      </c>
      <c r="D10" s="1545" t="s">
        <v>564</v>
      </c>
      <c r="E10" s="1545" t="s">
        <v>393</v>
      </c>
      <c r="F10" s="1525" t="s">
        <v>257</v>
      </c>
      <c r="G10" s="1526" t="s">
        <v>331</v>
      </c>
      <c r="H10" s="1538">
        <f>252.685*Inflation!$D$3</f>
        <v>272.44334130582183</v>
      </c>
      <c r="I10" s="1531" t="s">
        <v>22</v>
      </c>
      <c r="J10" s="1522" t="s">
        <v>273</v>
      </c>
    </row>
    <row r="11" spans="1:22" ht="200.25" customHeight="1">
      <c r="A11" s="1545" t="s">
        <v>567</v>
      </c>
      <c r="B11" s="1545" t="s">
        <v>565</v>
      </c>
      <c r="C11" s="1545" t="s">
        <v>563</v>
      </c>
      <c r="D11" s="1545" t="s">
        <v>564</v>
      </c>
      <c r="E11" s="1545" t="s">
        <v>393</v>
      </c>
      <c r="F11" s="1525" t="s">
        <v>257</v>
      </c>
      <c r="G11" s="1526"/>
      <c r="H11" s="1538"/>
      <c r="I11" s="1531"/>
      <c r="J11" s="1522"/>
    </row>
    <row r="12" spans="1:22" ht="171" customHeight="1">
      <c r="A12" s="1545" t="s">
        <v>394</v>
      </c>
      <c r="B12" s="1545" t="s">
        <v>606</v>
      </c>
      <c r="C12" s="1545" t="s">
        <v>520</v>
      </c>
      <c r="D12" s="1545" t="s">
        <v>602</v>
      </c>
      <c r="E12" s="1545" t="s">
        <v>409</v>
      </c>
      <c r="F12" s="1525" t="s">
        <v>395</v>
      </c>
      <c r="G12" s="1525" t="s">
        <v>396</v>
      </c>
      <c r="H12" s="1538"/>
      <c r="I12" s="1531"/>
      <c r="J12" s="1522"/>
    </row>
    <row r="13" spans="1:22" ht="150" customHeight="1">
      <c r="A13" s="1545" t="s">
        <v>538</v>
      </c>
      <c r="B13" s="1711" t="s">
        <v>562</v>
      </c>
      <c r="C13" s="1711" t="s">
        <v>410</v>
      </c>
      <c r="D13" s="1545" t="s">
        <v>575</v>
      </c>
      <c r="E13" s="1711" t="s">
        <v>467</v>
      </c>
      <c r="F13" s="1709" t="s">
        <v>3</v>
      </c>
      <c r="G13" s="1709" t="s">
        <v>321</v>
      </c>
      <c r="H13" s="1706" t="s">
        <v>22</v>
      </c>
      <c r="I13" s="1705" t="s">
        <v>180</v>
      </c>
      <c r="J13" s="1522"/>
    </row>
    <row r="14" spans="1:22" ht="150" customHeight="1">
      <c r="A14" s="1545" t="s">
        <v>537</v>
      </c>
      <c r="B14" s="1711"/>
      <c r="C14" s="1711"/>
      <c r="D14" s="1545" t="s">
        <v>575</v>
      </c>
      <c r="E14" s="1711"/>
      <c r="F14" s="1709"/>
      <c r="G14" s="1709"/>
      <c r="H14" s="1706"/>
      <c r="I14" s="1705"/>
      <c r="J14" s="1522" t="s">
        <v>294</v>
      </c>
    </row>
    <row r="15" spans="1:22" ht="150" customHeight="1">
      <c r="A15" s="1545" t="s">
        <v>57</v>
      </c>
      <c r="B15" s="1545" t="s">
        <v>568</v>
      </c>
      <c r="C15" s="1545" t="s">
        <v>411</v>
      </c>
      <c r="D15" s="1565" t="s">
        <v>1881</v>
      </c>
      <c r="E15" s="1545" t="s">
        <v>408</v>
      </c>
      <c r="F15" s="1525" t="s">
        <v>252</v>
      </c>
      <c r="G15" s="1522" t="s">
        <v>322</v>
      </c>
      <c r="H15" s="1531" t="s">
        <v>22</v>
      </c>
      <c r="I15" s="1566" t="s">
        <v>1811</v>
      </c>
      <c r="J15" s="1522" t="s">
        <v>295</v>
      </c>
    </row>
    <row r="16" spans="1:22" ht="150" customHeight="1">
      <c r="A16" s="1545" t="s">
        <v>337</v>
      </c>
      <c r="B16" s="1711" t="s">
        <v>572</v>
      </c>
      <c r="C16" s="1711" t="s">
        <v>571</v>
      </c>
      <c r="D16" s="1707" t="s">
        <v>181</v>
      </c>
      <c r="E16" s="1545" t="s">
        <v>590</v>
      </c>
      <c r="F16" s="1525" t="s">
        <v>274</v>
      </c>
      <c r="G16" s="1522" t="s">
        <v>323</v>
      </c>
      <c r="H16" s="1531" t="s">
        <v>22</v>
      </c>
      <c r="I16" s="1707" t="s">
        <v>181</v>
      </c>
      <c r="J16" s="1522" t="s">
        <v>335</v>
      </c>
    </row>
    <row r="17" spans="1:20" ht="150" customHeight="1">
      <c r="A17" s="1545" t="s">
        <v>468</v>
      </c>
      <c r="B17" s="1711"/>
      <c r="C17" s="1711"/>
      <c r="D17" s="1707"/>
      <c r="E17" s="1545" t="s">
        <v>469</v>
      </c>
      <c r="F17" s="1525" t="s">
        <v>253</v>
      </c>
      <c r="G17" s="1525" t="s">
        <v>324</v>
      </c>
      <c r="H17" s="1531" t="s">
        <v>22</v>
      </c>
      <c r="I17" s="1707"/>
      <c r="J17" s="1522" t="s">
        <v>335</v>
      </c>
    </row>
    <row r="18" spans="1:20" ht="150" customHeight="1">
      <c r="A18" s="1568" t="s">
        <v>1853</v>
      </c>
      <c r="B18" s="1568" t="s">
        <v>1854</v>
      </c>
      <c r="C18" s="1568"/>
      <c r="D18" s="1638">
        <v>17</v>
      </c>
      <c r="E18" s="1568" t="s">
        <v>469</v>
      </c>
      <c r="F18" s="1567"/>
      <c r="G18" s="1567"/>
      <c r="H18" s="1531"/>
      <c r="I18" s="1569"/>
      <c r="J18" s="1522"/>
    </row>
    <row r="19" spans="1:20" ht="150" customHeight="1">
      <c r="A19" s="1545" t="s">
        <v>284</v>
      </c>
      <c r="B19" s="1711" t="s">
        <v>1932</v>
      </c>
      <c r="C19" s="1711" t="s">
        <v>586</v>
      </c>
      <c r="D19" s="1710" t="s">
        <v>1847</v>
      </c>
      <c r="E19" s="1545" t="s">
        <v>469</v>
      </c>
      <c r="F19" s="1525" t="s">
        <v>234</v>
      </c>
      <c r="G19" s="1714" t="s">
        <v>328</v>
      </c>
      <c r="H19" s="1531" t="s">
        <v>22</v>
      </c>
      <c r="I19" s="1710" t="s">
        <v>1847</v>
      </c>
      <c r="J19" s="1522" t="s">
        <v>299</v>
      </c>
    </row>
    <row r="20" spans="1:20" ht="150" customHeight="1">
      <c r="A20" s="1545" t="s">
        <v>305</v>
      </c>
      <c r="B20" s="1711"/>
      <c r="C20" s="1711"/>
      <c r="D20" s="1710"/>
      <c r="E20" s="1545" t="s">
        <v>591</v>
      </c>
      <c r="F20" s="1525" t="s">
        <v>285</v>
      </c>
      <c r="G20" s="1714"/>
      <c r="H20" s="1531" t="s">
        <v>22</v>
      </c>
      <c r="I20" s="1710"/>
      <c r="J20" s="1540" t="s">
        <v>286</v>
      </c>
    </row>
    <row r="21" spans="1:20" ht="150" customHeight="1">
      <c r="A21" s="1545" t="s">
        <v>111</v>
      </c>
      <c r="B21" s="1547" t="s">
        <v>592</v>
      </c>
      <c r="C21" s="1545" t="s">
        <v>593</v>
      </c>
      <c r="D21" s="1545"/>
      <c r="E21" s="1545"/>
      <c r="F21" s="1523" t="s">
        <v>255</v>
      </c>
      <c r="G21" s="1524" t="s">
        <v>329</v>
      </c>
      <c r="H21" s="1541">
        <f>34.9*Inflation!$D$3</f>
        <v>37.628955464602896</v>
      </c>
      <c r="I21" s="1531" t="s">
        <v>22</v>
      </c>
      <c r="J21" s="1522" t="s">
        <v>300</v>
      </c>
    </row>
    <row r="22" spans="1:20" ht="150" customHeight="1">
      <c r="A22" s="1545" t="s">
        <v>226</v>
      </c>
      <c r="B22" s="1711" t="s">
        <v>607</v>
      </c>
      <c r="C22" s="1711" t="s">
        <v>458</v>
      </c>
      <c r="D22" s="1625" t="s">
        <v>1930</v>
      </c>
      <c r="E22" s="1545" t="s">
        <v>470</v>
      </c>
      <c r="F22" s="1713" t="s">
        <v>297</v>
      </c>
      <c r="G22" s="1712" t="s">
        <v>336</v>
      </c>
      <c r="H22" s="1531" t="s">
        <v>22</v>
      </c>
      <c r="I22" s="1539"/>
      <c r="J22" s="1709" t="s">
        <v>298</v>
      </c>
    </row>
    <row r="23" spans="1:20" ht="150" customHeight="1">
      <c r="A23" s="1545" t="s">
        <v>231</v>
      </c>
      <c r="B23" s="1711"/>
      <c r="C23" s="1711"/>
      <c r="D23" s="1545" t="s">
        <v>539</v>
      </c>
      <c r="E23" s="1545" t="s">
        <v>470</v>
      </c>
      <c r="F23" s="1713"/>
      <c r="G23" s="1712"/>
      <c r="H23" s="1531" t="s">
        <v>22</v>
      </c>
      <c r="I23" s="1531" t="s">
        <v>22</v>
      </c>
      <c r="J23" s="1709"/>
    </row>
    <row r="24" spans="1:20" ht="150" customHeight="1">
      <c r="A24" s="1545" t="s">
        <v>232</v>
      </c>
      <c r="B24" s="1711"/>
      <c r="C24" s="1711"/>
      <c r="D24" s="1545" t="s">
        <v>539</v>
      </c>
      <c r="E24" s="1545" t="s">
        <v>470</v>
      </c>
      <c r="F24" s="1713"/>
      <c r="G24" s="1712"/>
      <c r="H24" s="1531" t="s">
        <v>22</v>
      </c>
      <c r="I24" s="1531" t="s">
        <v>22</v>
      </c>
      <c r="J24" s="1709"/>
    </row>
    <row r="25" spans="1:20" ht="150" customHeight="1">
      <c r="A25" s="1545" t="s">
        <v>576</v>
      </c>
      <c r="B25" s="1711"/>
      <c r="C25" s="1711"/>
      <c r="D25" s="1625" t="s">
        <v>1931</v>
      </c>
      <c r="E25" s="1545" t="s">
        <v>470</v>
      </c>
      <c r="F25" s="1713"/>
      <c r="G25" s="1712"/>
      <c r="H25" s="1531" t="s">
        <v>22</v>
      </c>
      <c r="I25" s="1539"/>
      <c r="J25" s="1709"/>
    </row>
    <row r="26" spans="1:20" ht="150" customHeight="1">
      <c r="A26" s="1545" t="s">
        <v>367</v>
      </c>
      <c r="B26" s="1545" t="s">
        <v>608</v>
      </c>
      <c r="C26" s="1545" t="s">
        <v>573</v>
      </c>
      <c r="D26" s="1545" t="s">
        <v>539</v>
      </c>
      <c r="E26" s="1545" t="s">
        <v>555</v>
      </c>
      <c r="F26" s="1527" t="s">
        <v>368</v>
      </c>
      <c r="G26" s="1540" t="s">
        <v>574</v>
      </c>
      <c r="H26" s="1536"/>
      <c r="I26" s="1531"/>
      <c r="J26" s="1522"/>
      <c r="K26" s="113"/>
      <c r="L26" s="113"/>
      <c r="M26" s="113"/>
      <c r="N26" s="113"/>
      <c r="O26" s="113"/>
      <c r="P26" s="113"/>
      <c r="Q26" s="113"/>
      <c r="R26" s="113"/>
      <c r="S26" s="113"/>
      <c r="T26" s="113"/>
    </row>
    <row r="27" spans="1:20" ht="392.25" customHeight="1">
      <c r="A27" s="1545" t="s">
        <v>578</v>
      </c>
      <c r="B27" s="1545" t="s">
        <v>581</v>
      </c>
      <c r="C27" s="1545" t="s">
        <v>391</v>
      </c>
      <c r="D27" s="1546" t="s">
        <v>1848</v>
      </c>
      <c r="E27" s="1548" t="s">
        <v>577</v>
      </c>
      <c r="F27" s="1522" t="s">
        <v>29</v>
      </c>
      <c r="G27" s="1525" t="s">
        <v>319</v>
      </c>
      <c r="H27" s="1531" t="s">
        <v>22</v>
      </c>
      <c r="I27" s="1532" t="s">
        <v>56</v>
      </c>
      <c r="J27" s="1525" t="s">
        <v>312</v>
      </c>
    </row>
    <row r="28" spans="1:20" ht="150" customHeight="1">
      <c r="A28" s="1545" t="s">
        <v>108</v>
      </c>
      <c r="B28" s="1545" t="s">
        <v>582</v>
      </c>
      <c r="C28" s="1545" t="s">
        <v>459</v>
      </c>
      <c r="D28" s="1549" t="s">
        <v>609</v>
      </c>
      <c r="E28" s="1545"/>
      <c r="F28" s="1525" t="s">
        <v>254</v>
      </c>
      <c r="G28" s="1526" t="s">
        <v>326</v>
      </c>
      <c r="H28" s="1531" t="s">
        <v>22</v>
      </c>
      <c r="I28" s="1570" t="s">
        <v>109</v>
      </c>
      <c r="J28" s="1522" t="s">
        <v>110</v>
      </c>
    </row>
    <row r="29" spans="1:20" ht="150" customHeight="1">
      <c r="A29" s="1545" t="s">
        <v>157</v>
      </c>
      <c r="B29" s="1711" t="s">
        <v>583</v>
      </c>
      <c r="C29" s="1545" t="s">
        <v>579</v>
      </c>
      <c r="D29" s="1532" t="s">
        <v>1815</v>
      </c>
      <c r="E29" s="1711" t="s">
        <v>580</v>
      </c>
      <c r="F29" s="1527" t="s">
        <v>306</v>
      </c>
      <c r="G29" s="1529" t="s">
        <v>320</v>
      </c>
      <c r="H29" s="1531" t="s">
        <v>22</v>
      </c>
      <c r="I29" s="1532" t="s">
        <v>1815</v>
      </c>
      <c r="J29" s="1522" t="s">
        <v>248</v>
      </c>
    </row>
    <row r="30" spans="1:20" ht="150" customHeight="1">
      <c r="A30" s="1545" t="s">
        <v>158</v>
      </c>
      <c r="B30" s="1711"/>
      <c r="C30" s="1545" t="s">
        <v>382</v>
      </c>
      <c r="D30" s="1532" t="s">
        <v>1813</v>
      </c>
      <c r="E30" s="1711"/>
      <c r="F30" s="1527"/>
      <c r="G30" s="1529"/>
      <c r="H30" s="1531" t="s">
        <v>22</v>
      </c>
      <c r="I30" s="1532" t="s">
        <v>1813</v>
      </c>
      <c r="J30" s="1522" t="s">
        <v>293</v>
      </c>
    </row>
    <row r="31" spans="1:20" ht="150" customHeight="1">
      <c r="A31" s="1545" t="s">
        <v>249</v>
      </c>
      <c r="B31" s="1711" t="s">
        <v>461</v>
      </c>
      <c r="C31" s="1545" t="s">
        <v>378</v>
      </c>
      <c r="D31" s="1532" t="s">
        <v>1814</v>
      </c>
      <c r="E31" s="1545" t="s">
        <v>584</v>
      </c>
      <c r="F31" s="1525" t="s">
        <v>251</v>
      </c>
      <c r="G31" s="1525" t="s">
        <v>22</v>
      </c>
      <c r="H31" s="1531" t="s">
        <v>22</v>
      </c>
      <c r="I31" s="1532" t="s">
        <v>1814</v>
      </c>
      <c r="J31" s="1522" t="s">
        <v>283</v>
      </c>
    </row>
    <row r="32" spans="1:20" ht="150" customHeight="1">
      <c r="A32" s="1545" t="s">
        <v>250</v>
      </c>
      <c r="B32" s="1711"/>
      <c r="C32" s="1545" t="s">
        <v>379</v>
      </c>
      <c r="D32" s="1532" t="s">
        <v>1812</v>
      </c>
      <c r="E32" s="1545" t="s">
        <v>584</v>
      </c>
      <c r="F32" s="1525"/>
      <c r="G32" s="1525"/>
      <c r="H32" s="1531" t="s">
        <v>22</v>
      </c>
      <c r="I32" s="1532" t="s">
        <v>1812</v>
      </c>
      <c r="J32" s="1522" t="s">
        <v>283</v>
      </c>
    </row>
    <row r="33" spans="1:10" ht="150" customHeight="1">
      <c r="A33" s="1545" t="s">
        <v>287</v>
      </c>
      <c r="B33" s="1545" t="s">
        <v>1852</v>
      </c>
      <c r="C33" s="1545" t="s">
        <v>460</v>
      </c>
      <c r="D33" s="1549" t="s">
        <v>585</v>
      </c>
      <c r="E33" s="1545"/>
      <c r="F33" s="1528" t="s">
        <v>275</v>
      </c>
      <c r="G33" s="1530" t="s">
        <v>327</v>
      </c>
      <c r="H33" s="1531" t="s">
        <v>22</v>
      </c>
      <c r="I33" s="1531" t="s">
        <v>22</v>
      </c>
      <c r="J33" s="1522" t="s">
        <v>556</v>
      </c>
    </row>
    <row r="34" spans="1:10" ht="150" customHeight="1">
      <c r="A34" s="1547" t="s">
        <v>144</v>
      </c>
      <c r="B34" s="1547" t="s">
        <v>536</v>
      </c>
      <c r="C34" s="1545"/>
      <c r="D34" s="1545"/>
      <c r="E34" s="1545"/>
      <c r="F34" s="1715" t="s">
        <v>317</v>
      </c>
      <c r="G34" s="1708" t="s">
        <v>332</v>
      </c>
      <c r="H34" s="1536">
        <f>620.4975*Inflation!$D$3</f>
        <v>669.01641241826451</v>
      </c>
      <c r="I34" s="1531" t="s">
        <v>22</v>
      </c>
      <c r="J34" s="1522" t="s">
        <v>1806</v>
      </c>
    </row>
    <row r="35" spans="1:10" ht="150" customHeight="1">
      <c r="A35" s="1547" t="s">
        <v>145</v>
      </c>
      <c r="B35" s="1547" t="s">
        <v>536</v>
      </c>
      <c r="C35" s="1545"/>
      <c r="D35" s="1545"/>
      <c r="E35" s="1545"/>
      <c r="F35" s="1715"/>
      <c r="G35" s="1708"/>
      <c r="H35" s="1536">
        <f>1974.2611875*Inflation!$D$3</f>
        <v>2128.6357105997572</v>
      </c>
      <c r="I35" s="1531" t="s">
        <v>22</v>
      </c>
      <c r="J35" s="1522" t="s">
        <v>1807</v>
      </c>
    </row>
    <row r="36" spans="1:10" ht="150" customHeight="1">
      <c r="A36" s="1547" t="s">
        <v>176</v>
      </c>
      <c r="B36" s="1547" t="s">
        <v>536</v>
      </c>
      <c r="C36" s="1545"/>
      <c r="D36" s="1545"/>
      <c r="E36" s="1545"/>
      <c r="F36" s="1709" t="s">
        <v>256</v>
      </c>
      <c r="G36" s="1714" t="s">
        <v>330</v>
      </c>
      <c r="H36" s="1541">
        <f>-590*Inflation!$D$3</f>
        <v>-636.1342041293899</v>
      </c>
      <c r="I36" s="1531" t="s">
        <v>22</v>
      </c>
      <c r="J36" s="1522" t="s">
        <v>1808</v>
      </c>
    </row>
    <row r="37" spans="1:10" ht="150" customHeight="1">
      <c r="A37" s="1547" t="s">
        <v>177</v>
      </c>
      <c r="B37" s="1547" t="s">
        <v>536</v>
      </c>
      <c r="C37" s="1545"/>
      <c r="D37" s="1545"/>
      <c r="E37" s="1545"/>
      <c r="F37" s="1709"/>
      <c r="G37" s="1714"/>
      <c r="H37" s="1542">
        <f>-209.5*Inflation!$D$3</f>
        <v>-225.88155214424947</v>
      </c>
      <c r="I37" s="1531" t="s">
        <v>22</v>
      </c>
      <c r="J37" s="1522" t="s">
        <v>1785</v>
      </c>
    </row>
    <row r="38" spans="1:10" ht="150" customHeight="1">
      <c r="A38" s="1547" t="s">
        <v>4</v>
      </c>
      <c r="B38" s="1547" t="s">
        <v>536</v>
      </c>
      <c r="C38" s="1545"/>
      <c r="D38" s="1545"/>
      <c r="E38" s="1545"/>
      <c r="F38" s="1525" t="s">
        <v>258</v>
      </c>
      <c r="G38" s="1526" t="s">
        <v>333</v>
      </c>
      <c r="H38" s="1543">
        <f>26.2458788185969*Inflation!$D$3</f>
        <v>28.298137684651781</v>
      </c>
      <c r="I38" s="1531" t="s">
        <v>22</v>
      </c>
      <c r="J38" s="1522" t="s">
        <v>1809</v>
      </c>
    </row>
    <row r="39" spans="1:10" ht="150" customHeight="1">
      <c r="A39" s="1547" t="s">
        <v>5</v>
      </c>
      <c r="B39" s="1547" t="s">
        <v>536</v>
      </c>
      <c r="C39" s="1545"/>
      <c r="D39" s="1545"/>
      <c r="E39" s="1545"/>
      <c r="F39" s="1525" t="s">
        <v>259</v>
      </c>
      <c r="G39" s="1526" t="s">
        <v>334</v>
      </c>
      <c r="H39" s="1543">
        <f>24.6094147640023*Inflation!$D$3</f>
        <v>26.533712669472305</v>
      </c>
      <c r="I39" s="1531" t="s">
        <v>22</v>
      </c>
      <c r="J39" s="1522" t="s">
        <v>1810</v>
      </c>
    </row>
    <row r="40" spans="1:10">
      <c r="A40" s="98"/>
      <c r="B40" s="98"/>
      <c r="C40" s="98"/>
      <c r="D40" s="98"/>
      <c r="F40" s="98"/>
    </row>
    <row r="41" spans="1:10" ht="21">
      <c r="A41" s="184" t="s">
        <v>634</v>
      </c>
      <c r="B41" s="385"/>
      <c r="C41" s="385"/>
      <c r="D41" s="385"/>
      <c r="E41" s="4"/>
      <c r="F41" s="98"/>
    </row>
    <row r="42" spans="1:10">
      <c r="F42" s="98"/>
    </row>
    <row r="43" spans="1:10">
      <c r="F43" s="98"/>
    </row>
    <row r="44" spans="1:10">
      <c r="F44" s="98"/>
    </row>
    <row r="45" spans="1:10" ht="15" customHeight="1">
      <c r="F45" s="98"/>
    </row>
    <row r="46" spans="1:10" ht="15" customHeight="1">
      <c r="F46" s="98"/>
    </row>
    <row r="47" spans="1:10" ht="15" customHeight="1">
      <c r="F47" s="98"/>
    </row>
    <row r="48" spans="1:10" ht="15" customHeight="1">
      <c r="F48" s="98"/>
    </row>
    <row r="49" spans="6:6" ht="15" customHeight="1">
      <c r="F49" s="98"/>
    </row>
    <row r="50" spans="6:6" ht="15" customHeight="1">
      <c r="F50" s="98"/>
    </row>
    <row r="51" spans="6:6" ht="15.75" customHeight="1">
      <c r="F51" s="98"/>
    </row>
    <row r="52" spans="6:6" ht="15" customHeight="1">
      <c r="F52" s="98"/>
    </row>
    <row r="53" spans="6:6" ht="15" customHeight="1">
      <c r="F53" s="98"/>
    </row>
    <row r="54" spans="6:6" ht="15" customHeight="1">
      <c r="F54" s="98"/>
    </row>
    <row r="55" spans="6:6" ht="15.75" customHeight="1">
      <c r="F55" s="98"/>
    </row>
  </sheetData>
  <mergeCells count="34">
    <mergeCell ref="A1:A2"/>
    <mergeCell ref="B1:D1"/>
    <mergeCell ref="E1:G1"/>
    <mergeCell ref="H1:I1"/>
    <mergeCell ref="J1:J2"/>
    <mergeCell ref="F36:F37"/>
    <mergeCell ref="G36:G37"/>
    <mergeCell ref="G19:G20"/>
    <mergeCell ref="E29:E30"/>
    <mergeCell ref="B31:B32"/>
    <mergeCell ref="B19:B20"/>
    <mergeCell ref="F34:F35"/>
    <mergeCell ref="B29:B30"/>
    <mergeCell ref="J22:J25"/>
    <mergeCell ref="I19:I20"/>
    <mergeCell ref="B13:B14"/>
    <mergeCell ref="B16:B17"/>
    <mergeCell ref="B22:B25"/>
    <mergeCell ref="G13:G14"/>
    <mergeCell ref="G22:G25"/>
    <mergeCell ref="C13:C14"/>
    <mergeCell ref="E13:E14"/>
    <mergeCell ref="F13:F14"/>
    <mergeCell ref="C16:C17"/>
    <mergeCell ref="D16:D17"/>
    <mergeCell ref="C19:C20"/>
    <mergeCell ref="C22:C25"/>
    <mergeCell ref="F22:F25"/>
    <mergeCell ref="D19:D20"/>
    <mergeCell ref="I3:I4"/>
    <mergeCell ref="I13:I14"/>
    <mergeCell ref="H13:H14"/>
    <mergeCell ref="I16:I17"/>
    <mergeCell ref="G34:G35"/>
  </mergeCells>
  <hyperlinks>
    <hyperlink ref="I3" location="Room_AC_Calculations!D2" display="See Room AC Calulatons"/>
    <hyperlink ref="I15" location="Residential_HPWH!A1" display="See Residential Heat Pump Water Heater"/>
    <hyperlink ref="I16" location="Refrigerator_Calulations!A1" display="See Refrigerator Calcuations"/>
    <hyperlink ref="I28" location="Occupancy_Sensor!A1" display="See Occupancy Sensor"/>
    <hyperlink ref="I13" location="RES_Small_Gas_WH_Calcs!A1" display="See Small Gas WH Calculations"/>
    <hyperlink ref="I5" location="Efficient_Fan_Motor!A1" display="See Efficient Fan Motor"/>
    <hyperlink ref="F22:F25" location="'TRM Comm Unitary HVAC IC'!A1" display="See TRM Commercail Unitary HVAC incremental Costs"/>
    <hyperlink ref="D19" location="'Clothes Washer_RES_TOS'!A1" display="See Clothes Washer - RES - TOS"/>
    <hyperlink ref="F6" location="'TRM Res HP Air Source  IC  '!A1" display="See TRM Residential Air-source Incremental Costs"/>
    <hyperlink ref="F9" location="'Res Mini Ductless HP'!A1" display="See Res Mini Ductless Heat Pump "/>
    <hyperlink ref="F26" location="'Comm_MidATRM_Mini Ductless HP'!A1" display="See Comm Mid A TRM Mini Ductless Heat Pump "/>
    <hyperlink ref="F29" location="'Elec_Chillers_Mid-A _TRM_IC'!A1" display="See Elec Chillers Mid-A TRM Incremental Cost"/>
    <hyperlink ref="I27" location="VFD_Calculator!A1" display="See VFD Calculations"/>
    <hyperlink ref="I32" location="Elct_Chillers_Air_Cooled_ER!A1" display="See Electric Chillers Air-Cooled Early Replacement "/>
    <hyperlink ref="F29:F30" location="Elec_Chillers_TRM_IMC!A1" display="See Elec Chillers TRM Incremental Cost"/>
    <hyperlink ref="D7" location="Residential_CAC!A1" display="See Residential CAC"/>
    <hyperlink ref="D27" location="VFD!A1" display="See VFD "/>
    <hyperlink ref="D25" location="Commercial_HP!A1" display="See Commercial HP"/>
    <hyperlink ref="D6" location="Residential_ASHP!A1" display="See Residential ASHP "/>
    <hyperlink ref="D28" location="'Occupancy Sensor'!A1" display="'Occupancy Sensor'!A1"/>
    <hyperlink ref="A41" location="'Master Summary'!A1" display="Return To Master Summary"/>
    <hyperlink ref="I16:I17" location="Refrigerator_IMC!A1" display="See Refrigerator Calculations"/>
    <hyperlink ref="D19:D20" location="'Residential Clothes Washer'!A1" display="See Residential Clothes Washer "/>
    <hyperlink ref="I31" location="Elct_Chillers_Water_Cooled_ER!A1" display="See Electric Chillers Water-Cooled ER"/>
    <hyperlink ref="I30" location="Elct_Chillers_Air_Cooled_TOS!A1" display="See Electric Chillers Air-Cooled Time of Sale "/>
    <hyperlink ref="I29" location="Elct_Chillers_Water_Cooled_TOS!A1" display="See Electric Chillers Water-Cooled Time of Sale "/>
    <hyperlink ref="I19" location="'Clothes Washer_RES_TOS'!A1" display="See Clothes Washer - RES - TOS"/>
    <hyperlink ref="I19:I20" location="'Residential Clothes Washer'!A1" display="See Residential Clothes Washer "/>
    <hyperlink ref="D22" location="Commercial_AC!A1" display="See Commercial AC "/>
    <hyperlink ref="D32" location="Elct_Chillers_Air_Cooled_ER!A1" display="See Electric Chillers Air-Cooled Early Replacement "/>
    <hyperlink ref="D31" location="Elct_Chillers_Water_Cooled_ER!A1" display="See Electric Chillers Water-Cooled ER"/>
    <hyperlink ref="D30" location="Elct_Chillers_Air_Cooled_TOS!A1" display="See Electric Chillers Air-Cooled Time of Sale "/>
    <hyperlink ref="D29" location="Elct_Chillers_Water_Cooled_TOS!A1" display="See Electric Chillers Water-Cooled Time of Sale "/>
    <hyperlink ref="D16" location="Refrigerator_Calulations!A1" display="See Refrigerator Calcuations"/>
    <hyperlink ref="D16:D17" location="Refrigerator_IMC!A1" display="See Refrigerator Calculations"/>
    <hyperlink ref="F7" location="'TRM V6 ResCAC'!A1" display="See TRM V6 Res CAC"/>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249977111117893"/>
  </sheetPr>
  <dimension ref="A1:S42"/>
  <sheetViews>
    <sheetView workbookViewId="0">
      <selection sqref="A1:F1"/>
    </sheetView>
  </sheetViews>
  <sheetFormatPr defaultRowHeight="14.4"/>
  <cols>
    <col min="1" max="1" width="14.6640625" customWidth="1"/>
    <col min="2" max="2" width="14.109375" customWidth="1"/>
    <col min="3" max="3" width="15.44140625" customWidth="1"/>
    <col min="4" max="4" width="17" customWidth="1"/>
    <col min="5" max="5" width="18.33203125" customWidth="1"/>
    <col min="6" max="6" width="17.5546875" customWidth="1"/>
    <col min="7" max="7" width="16.109375" customWidth="1"/>
    <col min="8" max="9" width="20.33203125" customWidth="1"/>
    <col min="10" max="10" width="20.109375" customWidth="1"/>
    <col min="11" max="11" width="13.109375" customWidth="1"/>
    <col min="12" max="12" width="15" customWidth="1"/>
    <col min="13" max="13" width="14" customWidth="1"/>
    <col min="14" max="14" width="16.109375" customWidth="1"/>
    <col min="15" max="15" width="21.5546875" customWidth="1"/>
    <col min="16" max="16" width="24" customWidth="1"/>
    <col min="17" max="17" width="15.33203125" customWidth="1"/>
    <col min="18" max="18" width="13.44140625" customWidth="1"/>
    <col min="19" max="19" width="12.44140625" customWidth="1"/>
  </cols>
  <sheetData>
    <row r="1" spans="1:19" ht="35.25" customHeight="1">
      <c r="A1" s="2032" t="s">
        <v>464</v>
      </c>
      <c r="B1" s="2032"/>
      <c r="C1" s="2032"/>
      <c r="D1" s="2032"/>
      <c r="E1" s="2032"/>
      <c r="F1" s="2032"/>
      <c r="G1" s="95"/>
      <c r="H1" s="2032" t="s">
        <v>462</v>
      </c>
      <c r="I1" s="2032"/>
      <c r="J1" s="2032"/>
      <c r="K1" s="2032"/>
      <c r="L1" s="2032"/>
      <c r="M1" s="2032"/>
      <c r="P1" s="2023" t="s">
        <v>228</v>
      </c>
      <c r="Q1" s="2023"/>
      <c r="R1" s="2023"/>
      <c r="S1" s="2023"/>
    </row>
    <row r="2" spans="1:19" ht="28.5" customHeight="1">
      <c r="A2" s="2023" t="s">
        <v>403</v>
      </c>
      <c r="B2" s="1826" t="s">
        <v>683</v>
      </c>
      <c r="C2" s="1826"/>
      <c r="D2" s="1826"/>
      <c r="E2" s="1826"/>
      <c r="F2" s="1826"/>
      <c r="G2" s="95"/>
      <c r="H2" s="2023" t="s">
        <v>403</v>
      </c>
      <c r="I2" s="1826" t="s">
        <v>315</v>
      </c>
      <c r="J2" s="1826"/>
      <c r="K2" s="1826"/>
      <c r="L2" s="1826"/>
      <c r="M2" s="1826"/>
      <c r="P2" s="148" t="s">
        <v>682</v>
      </c>
      <c r="Q2" s="148" t="s">
        <v>165</v>
      </c>
      <c r="R2" s="148" t="s">
        <v>164</v>
      </c>
      <c r="S2" s="148" t="s">
        <v>167</v>
      </c>
    </row>
    <row r="3" spans="1:19" ht="72">
      <c r="A3" s="2023"/>
      <c r="B3" s="223" t="s">
        <v>121</v>
      </c>
      <c r="C3" s="223" t="s">
        <v>122</v>
      </c>
      <c r="D3" s="223" t="s">
        <v>123</v>
      </c>
      <c r="E3" s="148" t="s">
        <v>404</v>
      </c>
      <c r="F3" s="148" t="s">
        <v>405</v>
      </c>
      <c r="G3" s="95"/>
      <c r="H3" s="2023"/>
      <c r="I3" s="223" t="s">
        <v>124</v>
      </c>
      <c r="J3" s="223" t="s">
        <v>125</v>
      </c>
      <c r="K3" s="223" t="s">
        <v>126</v>
      </c>
      <c r="L3" s="148" t="s">
        <v>684</v>
      </c>
      <c r="M3" s="148" t="s">
        <v>405</v>
      </c>
      <c r="N3" s="152"/>
      <c r="P3" s="2031" t="s">
        <v>166</v>
      </c>
      <c r="Q3" s="224">
        <v>2</v>
      </c>
      <c r="R3" s="123">
        <f>(((0.3328*(Q3)+8.8483)*'Labor Results Matrix'!$G$83)*1.2)*'Labor Adjustment'!$B$4</f>
        <v>545.61294273126214</v>
      </c>
      <c r="S3" s="123">
        <f>R3*Inflation!$D$3</f>
        <v>588.27636455431491</v>
      </c>
    </row>
    <row r="4" spans="1:19">
      <c r="A4" s="224">
        <v>15</v>
      </c>
      <c r="B4" s="36">
        <f>((A4*'Equipment Results Matrix'!$R$189)+'Equipment Results Matrix'!$R$190+'Equipment Results Matrix'!$T$196+'Equipment Results Matrix'!$R$192+'Equipment Results Matrix'!$R$194)*(1+'Equipment Results Matrix'!$T$198)+$R$9</f>
        <v>4285.6955023676219</v>
      </c>
      <c r="C4" s="36">
        <f>(($A4*'Equipment Results Matrix'!$R$189)+'Equipment Results Matrix'!$R$190+'Equipment Results Matrix'!$T$196+'Equipment Results Matrix'!$R$192+'Equipment Results Matrix'!$R$195)*(1+'Equipment Results Matrix'!$T$198)+$R$9</f>
        <v>3754.6595023676214</v>
      </c>
      <c r="D4" s="36">
        <f>(($A4*'Equipment Results Matrix'!$R$189)+'Equipment Results Matrix'!$R$190+'Equipment Results Matrix'!$T$196+'Equipment Results Matrix'!$R$192+'Equipment Results Matrix'!$R$196)*(1+'Equipment Results Matrix'!$T$198)+$R$9</f>
        <v>3172.3955023676217</v>
      </c>
      <c r="E4" s="328">
        <f>AVERAGE(B4:D4)</f>
        <v>3737.5835023676213</v>
      </c>
      <c r="F4" s="328">
        <f>AVERAGE(B4:D4)*Inflation!$D$3</f>
        <v>4029.8384858402787</v>
      </c>
      <c r="G4" s="95"/>
      <c r="H4" s="224">
        <v>15</v>
      </c>
      <c r="I4" s="36">
        <f>(($A4*'Equipment Results Matrix'!$R$189)+'Equipment Results Matrix'!$R$190+'Equipment Results Matrix'!$T$196+'Equipment Results Matrix'!$R$193+'Equipment Results Matrix'!$R$194)*(1+'Equipment Results Matrix'!$T$198)+$R$9</f>
        <v>3338.0075023676213</v>
      </c>
      <c r="J4" s="36">
        <f>(($A4*'Equipment Results Matrix'!$R$189)+'Equipment Results Matrix'!$R$190+'Equipment Results Matrix'!$T$196+'Equipment Results Matrix'!$R$193+'Equipment Results Matrix'!$R$195)*(1+'Equipment Results Matrix'!$T$198)+$R$9</f>
        <v>2806.9715023676213</v>
      </c>
      <c r="K4" s="36">
        <f>(($A4*'Equipment Results Matrix'!$R$189)+'Equipment Results Matrix'!$R$190+'Equipment Results Matrix'!$T$196+'Equipment Results Matrix'!$R$193+'Equipment Results Matrix'!$R$196)*(1+'Equipment Results Matrix'!$T$198)+$R$9</f>
        <v>2224.7075023676216</v>
      </c>
      <c r="L4" s="328">
        <f>AVERAGE(I4:K4)</f>
        <v>2789.8955023676212</v>
      </c>
      <c r="M4" s="328">
        <f>AVERAGE(I4:K4)*Inflation!$D$3</f>
        <v>3008.0473813606632</v>
      </c>
      <c r="N4" s="227"/>
      <c r="P4" s="2031"/>
      <c r="Q4" s="220">
        <v>3</v>
      </c>
      <c r="R4" s="123">
        <f>((0.3328*(Q4)+8.8483)*'Labor Results Matrix'!$G$83)*1.2*'Labor Adjustment'!$B$4</f>
        <v>564.69870013263949</v>
      </c>
      <c r="S4" s="123">
        <f>R4*Inflation!$D$3</f>
        <v>608.85450539284341</v>
      </c>
    </row>
    <row r="5" spans="1:19">
      <c r="A5" s="224">
        <v>20</v>
      </c>
      <c r="B5" s="36">
        <f>((A5*'Equipment Results Matrix'!$R$189)+'Equipment Results Matrix'!$R$190+'Equipment Results Matrix'!$T$196+'Equipment Results Matrix'!$R$192+'Equipment Results Matrix'!$R$194)*(1+'Equipment Results Matrix'!$T$198)+$R$10</f>
        <v>4658.252227054656</v>
      </c>
      <c r="C5" s="36">
        <f>(($A5*'Equipment Results Matrix'!$R$189)+'Equipment Results Matrix'!$R$190+'Equipment Results Matrix'!$T$196+'Equipment Results Matrix'!$R$192+'Equipment Results Matrix'!$R$195)*(1+'Equipment Results Matrix'!$T$198)+$R$10</f>
        <v>4127.216227054656</v>
      </c>
      <c r="D5" s="36">
        <f>(($A5*'Equipment Results Matrix'!$R$189)+'Equipment Results Matrix'!$R$190+'Equipment Results Matrix'!$T$196+'Equipment Results Matrix'!$R$192+'Equipment Results Matrix'!$R$196)*(1+'Equipment Results Matrix'!$T$198)+$R$10</f>
        <v>3544.9522270546559</v>
      </c>
      <c r="E5" s="328">
        <f t="shared" ref="E5:E13" si="0">AVERAGE(B5:D5)</f>
        <v>4110.140227054656</v>
      </c>
      <c r="F5" s="328">
        <f>AVERAGE(B5:D5)*Inflation!$D$3</f>
        <v>4431.5267494874633</v>
      </c>
      <c r="G5" s="95"/>
      <c r="H5" s="224">
        <v>20</v>
      </c>
      <c r="I5" s="36">
        <f>(($A5*'Equipment Results Matrix'!$R$189)+'Equipment Results Matrix'!$R$190+'Equipment Results Matrix'!$T$196+'Equipment Results Matrix'!$R$193+'Equipment Results Matrix'!$R$194)*(1+'Equipment Results Matrix'!$T$198)+$R$10</f>
        <v>3710.5642270546555</v>
      </c>
      <c r="J5" s="36">
        <f>(($A5*'Equipment Results Matrix'!$R$189)+'Equipment Results Matrix'!$R$190+'Equipment Results Matrix'!$T$196+'Equipment Results Matrix'!$R$193+'Equipment Results Matrix'!$R$195)*(1+'Equipment Results Matrix'!$T$198)+$R$10</f>
        <v>3179.5282270546559</v>
      </c>
      <c r="K5" s="36">
        <f>(($A5*'Equipment Results Matrix'!$R$189)+'Equipment Results Matrix'!$R$190+'Equipment Results Matrix'!$T$196+'Equipment Results Matrix'!$R$193+'Equipment Results Matrix'!$R$196)*(1+'Equipment Results Matrix'!$T$198)+$R$10</f>
        <v>2597.2642270546557</v>
      </c>
      <c r="L5" s="328">
        <f t="shared" ref="L5:L13" si="1">AVERAGE(I5:K5)</f>
        <v>3162.4522270546563</v>
      </c>
      <c r="M5" s="328">
        <f>AVERAGE(I5:K5)*Inflation!$D$3</f>
        <v>3409.7356450078482</v>
      </c>
      <c r="N5" s="227"/>
      <c r="P5" s="2031"/>
      <c r="Q5" s="220">
        <v>4</v>
      </c>
      <c r="R5" s="123">
        <f>((0.3328*(Q5)+8.8483)*'Labor Results Matrix'!$G$83)*1.2*'Labor Adjustment'!$B$4</f>
        <v>583.78445753401695</v>
      </c>
      <c r="S5" s="123">
        <f>R5*Inflation!$D$3</f>
        <v>629.43264623137202</v>
      </c>
    </row>
    <row r="6" spans="1:19">
      <c r="A6" s="224">
        <v>25</v>
      </c>
      <c r="B6" s="36">
        <f>((A6*'Equipment Results Matrix'!$R$189)+'Equipment Results Matrix'!$R$190+'Equipment Results Matrix'!$T$196+'Equipment Results Matrix'!$R$192+'Equipment Results Matrix'!$R$194)*(1+'Equipment Results Matrix'!$T$198)+$R$11</f>
        <v>5030.8089517416902</v>
      </c>
      <c r="C6" s="36">
        <f>(($A6*'Equipment Results Matrix'!$R$189)+'Equipment Results Matrix'!$R$190+'Equipment Results Matrix'!$T$196+'Equipment Results Matrix'!$R$192+'Equipment Results Matrix'!$R$195)*(1+'Equipment Results Matrix'!$T$198)+$R$11</f>
        <v>4499.7729517416901</v>
      </c>
      <c r="D6" s="36">
        <f>(($A6*'Equipment Results Matrix'!$R$189)+'Equipment Results Matrix'!$R$190+'Equipment Results Matrix'!$T$196+'Equipment Results Matrix'!$R$192+'Equipment Results Matrix'!$R$196)*(1+'Equipment Results Matrix'!$T$198)+$R$11</f>
        <v>3917.50895174169</v>
      </c>
      <c r="E6" s="328">
        <f t="shared" si="0"/>
        <v>4482.6969517416901</v>
      </c>
      <c r="F6" s="328">
        <f>AVERAGE(B6:D6)*Inflation!$D$3</f>
        <v>4833.215013134648</v>
      </c>
      <c r="G6" s="95"/>
      <c r="H6" s="224">
        <v>25</v>
      </c>
      <c r="I6" s="36">
        <f>(($A6*'Equipment Results Matrix'!$R$189)+'Equipment Results Matrix'!$R$190+'Equipment Results Matrix'!$T$196+'Equipment Results Matrix'!$R$193+'Equipment Results Matrix'!$R$194)*(1+'Equipment Results Matrix'!$T$198)+$R$11</f>
        <v>4083.1209517416901</v>
      </c>
      <c r="J6" s="36">
        <f>(($A6*'Equipment Results Matrix'!$R$189)+'Equipment Results Matrix'!$R$190+'Equipment Results Matrix'!$T$196+'Equipment Results Matrix'!$R$193+'Equipment Results Matrix'!$R$195)*(1+'Equipment Results Matrix'!$T$198)+$R$11</f>
        <v>3552.08495174169</v>
      </c>
      <c r="K6" s="36">
        <f>(($A6*'Equipment Results Matrix'!$R$189)+'Equipment Results Matrix'!$R$190+'Equipment Results Matrix'!$T$196+'Equipment Results Matrix'!$R$193+'Equipment Results Matrix'!$R$196)*(1+'Equipment Results Matrix'!$T$198)+$R$11</f>
        <v>2969.8209517416899</v>
      </c>
      <c r="L6" s="328">
        <f t="shared" si="1"/>
        <v>3535.0089517416905</v>
      </c>
      <c r="M6" s="328">
        <f>AVERAGE(I6:K6)*Inflation!$D$3</f>
        <v>3811.4239086550324</v>
      </c>
      <c r="N6" s="227"/>
      <c r="P6" s="2031"/>
      <c r="Q6" s="220">
        <v>5</v>
      </c>
      <c r="R6" s="123">
        <f>((0.3328*(Q6)+8.8483)*'Labor Results Matrix'!$G$83)*1.2*'Labor Adjustment'!$B$4</f>
        <v>602.87021493539419</v>
      </c>
      <c r="S6" s="123">
        <f>R6*Inflation!$D$3</f>
        <v>650.0107870699004</v>
      </c>
    </row>
    <row r="7" spans="1:19">
      <c r="A7" s="224">
        <v>30</v>
      </c>
      <c r="B7" s="36">
        <f>((A7*'Equipment Results Matrix'!$R$189)+'Equipment Results Matrix'!$R$190+'Equipment Results Matrix'!$T$196+'Equipment Results Matrix'!$R$192+'Equipment Results Matrix'!$R$194)*(1+'Equipment Results Matrix'!$T$198)+$R$12</f>
        <v>5403.3656764287234</v>
      </c>
      <c r="C7" s="36">
        <f>(($A7*'Equipment Results Matrix'!$R$189)+'Equipment Results Matrix'!$R$190+'Equipment Results Matrix'!$T$196+'Equipment Results Matrix'!$R$192+'Equipment Results Matrix'!$R$195)*(1+'Equipment Results Matrix'!$T$198)+$R$12</f>
        <v>4872.3296764287234</v>
      </c>
      <c r="D7" s="36">
        <f>(($A7*'Equipment Results Matrix'!$R$189)+'Equipment Results Matrix'!$R$190+'Equipment Results Matrix'!$T$196+'Equipment Results Matrix'!$R$192+'Equipment Results Matrix'!$R$196)*(1+'Equipment Results Matrix'!$T$198)+$R$12</f>
        <v>4290.0656764287232</v>
      </c>
      <c r="E7" s="328">
        <f t="shared" si="0"/>
        <v>4855.2536764287233</v>
      </c>
      <c r="F7" s="328">
        <f>AVERAGE(B7:D7)*Inflation!$D$3</f>
        <v>5234.9032767818308</v>
      </c>
      <c r="G7" s="95"/>
      <c r="H7" s="224">
        <v>30</v>
      </c>
      <c r="I7" s="36">
        <f>(($A7*'Equipment Results Matrix'!$R$189)+'Equipment Results Matrix'!$R$190+'Equipment Results Matrix'!$T$196+'Equipment Results Matrix'!$R$193+'Equipment Results Matrix'!$R$194)*(1+'Equipment Results Matrix'!$T$198)+$R$12</f>
        <v>4455.6776764287233</v>
      </c>
      <c r="J7" s="36">
        <f>(($A7*'Equipment Results Matrix'!$R$189)+'Equipment Results Matrix'!$R$190+'Equipment Results Matrix'!$T$196+'Equipment Results Matrix'!$R$193+'Equipment Results Matrix'!$R$195)*(1+'Equipment Results Matrix'!$T$198)+$R$12</f>
        <v>3924.6416764287233</v>
      </c>
      <c r="K7" s="36">
        <f>(($A7*'Equipment Results Matrix'!$R$189)+'Equipment Results Matrix'!$R$190+'Equipment Results Matrix'!$T$196+'Equipment Results Matrix'!$R$193+'Equipment Results Matrix'!$R$196)*(1+'Equipment Results Matrix'!$T$198)+$R$12</f>
        <v>3342.3776764287231</v>
      </c>
      <c r="L7" s="328">
        <f t="shared" si="1"/>
        <v>3907.5656764287232</v>
      </c>
      <c r="M7" s="328">
        <f>AVERAGE(I7:K7)*Inflation!$D$3</f>
        <v>4213.1121723022152</v>
      </c>
      <c r="N7" s="227"/>
      <c r="P7" s="2031"/>
      <c r="Q7" s="121">
        <v>7.5</v>
      </c>
      <c r="R7" s="123">
        <f>((0.3328*(Q7)+8.8483)*'Labor Results Matrix'!$G$83)*1.2*'Labor Adjustment'!$B$4</f>
        <v>650.58460843883756</v>
      </c>
      <c r="S7" s="123">
        <f>R7*Inflation!$D$3</f>
        <v>701.45613916622153</v>
      </c>
    </row>
    <row r="8" spans="1:19">
      <c r="A8" s="15">
        <v>40</v>
      </c>
      <c r="B8" s="36">
        <f>((A8*'Equipment Results Matrix'!$R$189)+'Equipment Results Matrix'!$R$190+'Equipment Results Matrix'!$T$196+'Equipment Results Matrix'!$R$192+'Equipment Results Matrix'!$R$194)*(1+'Equipment Results Matrix'!$T$198)+$R$13</f>
        <v>6148.4791258027908</v>
      </c>
      <c r="C8" s="36">
        <f>(($A8*'Equipment Results Matrix'!$R$189)+'Equipment Results Matrix'!$R$190+'Equipment Results Matrix'!$T$196+'Equipment Results Matrix'!$R$192+'Equipment Results Matrix'!$R$195)*(1+'Equipment Results Matrix'!$T$198)+$R$13</f>
        <v>5617.4431258027917</v>
      </c>
      <c r="D8" s="36">
        <f>(($A8*'Equipment Results Matrix'!$R$189)+'Equipment Results Matrix'!$R$190+'Equipment Results Matrix'!$T$196+'Equipment Results Matrix'!$R$192+'Equipment Results Matrix'!$R$196)*(1+'Equipment Results Matrix'!$T$198)+$R$13</f>
        <v>5035.1791258027915</v>
      </c>
      <c r="E8" s="328">
        <f t="shared" si="0"/>
        <v>5600.3671258027907</v>
      </c>
      <c r="F8" s="328">
        <f>AVERAGE(B8:D8)*Inflation!$D$3</f>
        <v>6038.2798040761982</v>
      </c>
      <c r="G8" s="95"/>
      <c r="H8" s="15">
        <v>40</v>
      </c>
      <c r="I8" s="36">
        <f>(($A8*'Equipment Results Matrix'!$R$189)+'Equipment Results Matrix'!$R$190+'Equipment Results Matrix'!$T$196+'Equipment Results Matrix'!$R$193+'Equipment Results Matrix'!$R$194)*(1+'Equipment Results Matrix'!$T$198)+$R$13</f>
        <v>5200.7911258027907</v>
      </c>
      <c r="J8" s="36">
        <f>(($A8*'Equipment Results Matrix'!$R$189)+'Equipment Results Matrix'!$R$190+'Equipment Results Matrix'!$T$196+'Equipment Results Matrix'!$R$193+'Equipment Results Matrix'!$R$195)*(1+'Equipment Results Matrix'!$T$198)+$R$13</f>
        <v>4669.7551258027916</v>
      </c>
      <c r="K8" s="36">
        <f>(($A8*'Equipment Results Matrix'!$R$189)+'Equipment Results Matrix'!$R$190+'Equipment Results Matrix'!$T$196+'Equipment Results Matrix'!$R$193+'Equipment Results Matrix'!$R$196)*(1+'Equipment Results Matrix'!$T$198)+$R$13</f>
        <v>4087.4911258027914</v>
      </c>
      <c r="L8" s="328">
        <f t="shared" si="1"/>
        <v>4652.6791258027906</v>
      </c>
      <c r="M8" s="328">
        <f>AVERAGE(I8:K8)*Inflation!$D$3</f>
        <v>5016.4886995965826</v>
      </c>
      <c r="N8" s="227"/>
      <c r="P8" s="2031"/>
      <c r="Q8" s="121">
        <v>10</v>
      </c>
      <c r="R8" s="123">
        <f>((0.3328*(Q8)+8.8483)*'Labor Results Matrix'!$G$83)*1.2*'Labor Adjustment'!$B$4</f>
        <v>698.29900194228105</v>
      </c>
      <c r="S8" s="123">
        <f>R8*Inflation!$D$3</f>
        <v>752.90149126254278</v>
      </c>
    </row>
    <row r="9" spans="1:19">
      <c r="A9" s="15">
        <v>50</v>
      </c>
      <c r="B9" s="36">
        <f>((A9*'Equipment Results Matrix'!$R$189)+'Equipment Results Matrix'!$R$190+'Equipment Results Matrix'!$T$196+'Equipment Results Matrix'!$R$192+'Equipment Results Matrix'!$R$194)*(1+'Equipment Results Matrix'!$T$198)+$R$14</f>
        <v>6893.59257517686</v>
      </c>
      <c r="C9" s="36">
        <f>(($A9*'Equipment Results Matrix'!$R$189)+'Equipment Results Matrix'!$R$190+'Equipment Results Matrix'!$T$196+'Equipment Results Matrix'!$R$192+'Equipment Results Matrix'!$R$195)*(1+'Equipment Results Matrix'!$T$198)+$R$14</f>
        <v>6362.55657517686</v>
      </c>
      <c r="D9" s="36">
        <f>(($A9*'Equipment Results Matrix'!$R$189)+'Equipment Results Matrix'!$R$190+'Equipment Results Matrix'!$T$196+'Equipment Results Matrix'!$R$192+'Equipment Results Matrix'!$R$196)*(1+'Equipment Results Matrix'!$T$198)+R14</f>
        <v>5780.2925751768598</v>
      </c>
      <c r="E9" s="328">
        <f t="shared" si="0"/>
        <v>6345.4805751768608</v>
      </c>
      <c r="F9" s="328">
        <f>AVERAGE(B9:D9)*Inflation!$D$3</f>
        <v>6841.6563313705692</v>
      </c>
      <c r="G9" s="95"/>
      <c r="H9" s="15">
        <v>50</v>
      </c>
      <c r="I9" s="36">
        <f>(($A9*'Equipment Results Matrix'!$R$189)+'Equipment Results Matrix'!$R$190+'Equipment Results Matrix'!$T$196+'Equipment Results Matrix'!$R$193+'Equipment Results Matrix'!$R$194)*(1+'Equipment Results Matrix'!$T$198)+R14</f>
        <v>5945.9045751768599</v>
      </c>
      <c r="J9" s="36">
        <f>(($A9*'Equipment Results Matrix'!$R$189)+'Equipment Results Matrix'!$R$190+'Equipment Results Matrix'!$T$196+'Equipment Results Matrix'!$R$193+'Equipment Results Matrix'!$R$195)*(1+'Equipment Results Matrix'!$T$198)+R14</f>
        <v>5414.8685751768608</v>
      </c>
      <c r="K9" s="36">
        <f>(($A9*'Equipment Results Matrix'!$R$189)+'Equipment Results Matrix'!$R$190+'Equipment Results Matrix'!$T$196+'Equipment Results Matrix'!$R$193+'Equipment Results Matrix'!$R$196)*(1+'Equipment Results Matrix'!$T$198)+R14</f>
        <v>4832.6045751768597</v>
      </c>
      <c r="L9" s="328">
        <f t="shared" si="1"/>
        <v>5397.7925751768607</v>
      </c>
      <c r="M9" s="328">
        <f>AVERAGE(I9:K9)*Inflation!$D$3</f>
        <v>5819.8652268909527</v>
      </c>
      <c r="N9" s="227"/>
      <c r="P9" s="2031" t="s">
        <v>369</v>
      </c>
      <c r="Q9" s="224">
        <v>15</v>
      </c>
      <c r="R9" s="3">
        <f>((0.3405*(Q9)+12.225)*'Labor Results Matrix'!$G$73)*1.2*'Labor Adjustment'!$B$4</f>
        <v>994.00207379619303</v>
      </c>
      <c r="S9" s="122">
        <f>R9*Inflation!$D$3</f>
        <v>1071.7266408767871</v>
      </c>
    </row>
    <row r="10" spans="1:19">
      <c r="A10" s="15">
        <v>60</v>
      </c>
      <c r="B10" s="36">
        <f>((A10*'Equipment Results Matrix'!$R$189)+'Equipment Results Matrix'!$R$190+'Equipment Results Matrix'!$T$196+'Equipment Results Matrix'!$R$192+'Equipment Results Matrix'!$R$194)*(1+'Equipment Results Matrix'!$T$198)+R15</f>
        <v>8033.4046866731524</v>
      </c>
      <c r="C10" s="36">
        <f>(($A10*'Equipment Results Matrix'!$R$189)+'Equipment Results Matrix'!$R$190+'Equipment Results Matrix'!$T$196+'Equipment Results Matrix'!$R$192+'Equipment Results Matrix'!$R$195)*(1+'Equipment Results Matrix'!$T$198)+R15</f>
        <v>7502.3686866731523</v>
      </c>
      <c r="D10" s="36">
        <f>(($A10*'Equipment Results Matrix'!$R$189)+'Equipment Results Matrix'!$R$190+'Equipment Results Matrix'!$T$196+'Equipment Results Matrix'!$R$192+'Equipment Results Matrix'!$R$196)*(1+'Equipment Results Matrix'!$T$198)+R15</f>
        <v>6920.1046866731522</v>
      </c>
      <c r="E10" s="328">
        <f t="shared" si="0"/>
        <v>7485.2926866731532</v>
      </c>
      <c r="F10" s="328">
        <f>AVERAGE(B10:D10)*Inflation!$D$3</f>
        <v>8070.5944168006254</v>
      </c>
      <c r="G10" s="95"/>
      <c r="H10" s="15">
        <v>60</v>
      </c>
      <c r="I10" s="36">
        <f>(($A10*'Equipment Results Matrix'!$R$189)+'Equipment Results Matrix'!$R$190+'Equipment Results Matrix'!$T$196+'Equipment Results Matrix'!$R$193+'Equipment Results Matrix'!$R$194)*(1+'Equipment Results Matrix'!$T$198)+R15</f>
        <v>7085.7166866731523</v>
      </c>
      <c r="J10" s="36">
        <f>(($A10*'Equipment Results Matrix'!$R$189)+'Equipment Results Matrix'!$R$190+'Equipment Results Matrix'!$T$196+'Equipment Results Matrix'!$R$193+'Equipment Results Matrix'!$R$195)*(1+'Equipment Results Matrix'!$T$198)+R15</f>
        <v>6554.6806866731522</v>
      </c>
      <c r="K10" s="36">
        <f>(($A10*'Equipment Results Matrix'!$R$189)+'Equipment Results Matrix'!$R$190+'Equipment Results Matrix'!$T$196+'Equipment Results Matrix'!$R$193+'Equipment Results Matrix'!$R$196)*(1+'Equipment Results Matrix'!$T$198)+R15</f>
        <v>5972.4166866731521</v>
      </c>
      <c r="L10" s="328">
        <f t="shared" si="1"/>
        <v>6537.6046866731522</v>
      </c>
      <c r="M10" s="328">
        <f>AVERAGE(I10:K10)*Inflation!$D$3</f>
        <v>7048.8033123210089</v>
      </c>
      <c r="N10" s="227"/>
      <c r="P10" s="2031"/>
      <c r="Q10" s="224">
        <v>20</v>
      </c>
      <c r="R10" s="3">
        <f>((0.3405*(Q10)+12.225)*'Labor Results Matrix'!$G$73)*1.2*'Labor Adjustment'!$B$4</f>
        <v>1091.6387984832272</v>
      </c>
      <c r="S10" s="122">
        <f>R10*Inflation!$D$3</f>
        <v>1176.997929271002</v>
      </c>
    </row>
    <row r="11" spans="1:19">
      <c r="A11" s="15">
        <v>75</v>
      </c>
      <c r="B11" s="36">
        <f>((A11*'Equipment Results Matrix'!$R$189)+'Equipment Results Matrix'!$R$190+'Equipment Results Matrix'!$T$196+'Equipment Results Matrix'!$R$192+'Equipment Results Matrix'!$R$194)*(1+'Equipment Results Matrix'!$T$198)+R16</f>
        <v>8934.9112827207045</v>
      </c>
      <c r="C11" s="36">
        <f>(($A11*'Equipment Results Matrix'!$R$189)+'Equipment Results Matrix'!$R$190+'Equipment Results Matrix'!$T$196+'Equipment Results Matrix'!$R$192+'Equipment Results Matrix'!$R$195)*(1+'Equipment Results Matrix'!$T$198)+R16</f>
        <v>8403.8752827207045</v>
      </c>
      <c r="D11" s="36">
        <f>(($A11*'Equipment Results Matrix'!$R$189)+'Equipment Results Matrix'!$R$190+'Equipment Results Matrix'!$T$196+'Equipment Results Matrix'!$R$192+'Equipment Results Matrix'!$R$196)*(1+'Equipment Results Matrix'!$T$198)+R16</f>
        <v>7821.6112827207053</v>
      </c>
      <c r="E11" s="328">
        <f t="shared" si="0"/>
        <v>8386.7992827207054</v>
      </c>
      <c r="F11" s="328">
        <f>AVERAGE(B11:D11)*Inflation!$D$3</f>
        <v>9042.5930286550411</v>
      </c>
      <c r="G11" s="95"/>
      <c r="H11" s="15">
        <v>75</v>
      </c>
      <c r="I11" s="36">
        <f>(($A11*'Equipment Results Matrix'!$R$189)+'Equipment Results Matrix'!$R$190+'Equipment Results Matrix'!$T$196+'Equipment Results Matrix'!$R$193+'Equipment Results Matrix'!$R$194)*(1+'Equipment Results Matrix'!$T$198)+R16</f>
        <v>7987.2232827207044</v>
      </c>
      <c r="J11" s="36">
        <f>(($A11*'Equipment Results Matrix'!$R$189)+'Equipment Results Matrix'!$R$190+'Equipment Results Matrix'!$T$196+'Equipment Results Matrix'!$R$193+'Equipment Results Matrix'!$R$195)*(1+'Equipment Results Matrix'!$T$198)+R16</f>
        <v>7456.1872827207044</v>
      </c>
      <c r="K11" s="36">
        <f>(($A11*'Equipment Results Matrix'!$R$189)+'Equipment Results Matrix'!$R$190+'Equipment Results Matrix'!$T$196+'Equipment Results Matrix'!$R$193+'Equipment Results Matrix'!$R$196)*(1+'Equipment Results Matrix'!$T$198)+R16</f>
        <v>6873.9232827207052</v>
      </c>
      <c r="L11" s="328">
        <f t="shared" si="1"/>
        <v>7439.1112827207044</v>
      </c>
      <c r="M11" s="328">
        <f>AVERAGE(I11:K11)*Inflation!$D$3</f>
        <v>8020.8019241754237</v>
      </c>
      <c r="N11" s="227"/>
      <c r="P11" s="2031"/>
      <c r="Q11" s="224">
        <v>25</v>
      </c>
      <c r="R11" s="3">
        <f>((0.3405*(Q11)+12.225)*'Labor Results Matrix'!$G$73)*1.2*'Labor Adjustment'!$B$4</f>
        <v>1189.2755231702615</v>
      </c>
      <c r="S11" s="122">
        <f>R11*Inflation!$D$3</f>
        <v>1282.2692176652172</v>
      </c>
    </row>
    <row r="12" spans="1:19">
      <c r="A12" s="15">
        <v>100</v>
      </c>
      <c r="B12" s="36">
        <f>((A12*'Equipment Results Matrix'!$R$189)+'Equipment Results Matrix'!$R$190+'Equipment Results Matrix'!$T$196+'Equipment Results Matrix'!$R$192+'Equipment Results Matrix'!$R$194)*(1+'Equipment Results Matrix'!$T$198)+R17</f>
        <v>10437.422276133293</v>
      </c>
      <c r="C12" s="36">
        <f>(($A12*'Equipment Results Matrix'!$R$189)+'Equipment Results Matrix'!$R$190+'Equipment Results Matrix'!$T$196+'Equipment Results Matrix'!$R$192+'Equipment Results Matrix'!$R$195)*(1+'Equipment Results Matrix'!$T$198)+R17</f>
        <v>9906.386276133293</v>
      </c>
      <c r="D12" s="36">
        <f>(($A12*'Equipment Results Matrix'!$R$189)+'Equipment Results Matrix'!$R$190+'Equipment Results Matrix'!$T$196+'Equipment Results Matrix'!$R$192+'Equipment Results Matrix'!$R$196)*(1+'Equipment Results Matrix'!$T$198)+R17</f>
        <v>9324.122276133292</v>
      </c>
      <c r="E12" s="328">
        <f t="shared" si="0"/>
        <v>9889.3102761332921</v>
      </c>
      <c r="F12" s="328">
        <f>AVERAGE(B12:D12)*Inflation!$D$3</f>
        <v>10662.590715079066</v>
      </c>
      <c r="G12" s="95"/>
      <c r="H12" s="15">
        <v>100</v>
      </c>
      <c r="I12" s="36">
        <f>(($A12*'Equipment Results Matrix'!$R$189)+'Equipment Results Matrix'!$R$190+'Equipment Results Matrix'!$T$196+'Equipment Results Matrix'!$R$193+'Equipment Results Matrix'!$R$194)*(1+'Equipment Results Matrix'!$T$198)+R17</f>
        <v>9489.734276133293</v>
      </c>
      <c r="J12" s="36">
        <f>(($A12*'Equipment Results Matrix'!$R$189)+'Equipment Results Matrix'!$R$190+'Equipment Results Matrix'!$T$196+'Equipment Results Matrix'!$R$193+'Equipment Results Matrix'!$R$195)*(1+'Equipment Results Matrix'!$T$198)+R17</f>
        <v>8958.6982761332929</v>
      </c>
      <c r="K12" s="36">
        <f>(($A12*'Equipment Results Matrix'!$R$189)+'Equipment Results Matrix'!$R$190+'Equipment Results Matrix'!$T$196+'Equipment Results Matrix'!$R$193+'Equipment Results Matrix'!$R$196)*(1+'Equipment Results Matrix'!$T$198)+R17</f>
        <v>8376.4342761332919</v>
      </c>
      <c r="L12" s="328">
        <f t="shared" si="1"/>
        <v>8941.622276133292</v>
      </c>
      <c r="M12" s="328">
        <f>AVERAGE(I12:K12)*Inflation!$D$3</f>
        <v>9640.7996105994498</v>
      </c>
      <c r="N12" s="227"/>
      <c r="P12" s="2031"/>
      <c r="Q12" s="224">
        <v>30</v>
      </c>
      <c r="R12" s="3">
        <f>((0.3405*(Q12)+12.225)*'Labor Results Matrix'!$G$73)*1.2*'Labor Adjustment'!$B$4</f>
        <v>1286.9122478572951</v>
      </c>
      <c r="S12" s="122">
        <f>R12*Inflation!$D$3</f>
        <v>1387.5405060594314</v>
      </c>
    </row>
    <row r="13" spans="1:19">
      <c r="A13" s="15">
        <v>200</v>
      </c>
      <c r="B13" s="36">
        <f>((A13*'Equipment Results Matrix'!$R$189)+'Equipment Results Matrix'!$R$190+'Equipment Results Matrix'!$T$196+'Equipment Results Matrix'!$R$192+'Equipment Results Matrix'!$R$194)*(1+'Equipment Results Matrix'!$T$198)+R18</f>
        <v>16447.46624978364</v>
      </c>
      <c r="C13" s="36">
        <f>(($A13*'Equipment Results Matrix'!$R$189)+'Equipment Results Matrix'!$R$190+'Equipment Results Matrix'!$T$196+'Equipment Results Matrix'!$R$192+'Equipment Results Matrix'!$R$195)*(1+'Equipment Results Matrix'!$T$198)+R18</f>
        <v>15916.430249783642</v>
      </c>
      <c r="D13" s="36">
        <f>(($A13*'Equipment Results Matrix'!$R$189)+'Equipment Results Matrix'!$R$190+'Equipment Results Matrix'!$T$196+'Equipment Results Matrix'!$R$192+'Equipment Results Matrix'!$R$196)*(1+'Equipment Results Matrix'!$T$198)+R18</f>
        <v>15334.166249783642</v>
      </c>
      <c r="E13" s="328">
        <f t="shared" si="0"/>
        <v>15899.354249783641</v>
      </c>
      <c r="F13" s="328">
        <f>AVERAGE(B13:D13)*Inflation!$D$3</f>
        <v>17142.581460775167</v>
      </c>
      <c r="G13" s="95"/>
      <c r="H13" s="15">
        <v>200</v>
      </c>
      <c r="I13" s="36">
        <f>(($A13*'Equipment Results Matrix'!$R$189)+'Equipment Results Matrix'!$R$190+'Equipment Results Matrix'!$T$196+'Equipment Results Matrix'!$R$193+'Equipment Results Matrix'!$R$194)*(1+'Equipment Results Matrix'!$T$198)+R18</f>
        <v>15499.778249783642</v>
      </c>
      <c r="J13" s="36">
        <f>(($A13*'Equipment Results Matrix'!$R$189)+'Equipment Results Matrix'!$R$190+'Equipment Results Matrix'!$T$196+'Equipment Results Matrix'!$R$193+'Equipment Results Matrix'!$R$195)*(1+'Equipment Results Matrix'!$T$198)+R18</f>
        <v>14968.742249783641</v>
      </c>
      <c r="K13" s="36">
        <f>(($A13*'Equipment Results Matrix'!$R$189)+'Equipment Results Matrix'!$R$190+'Equipment Results Matrix'!$T$196+'Equipment Results Matrix'!$R$193+'Equipment Results Matrix'!$R$196)*(1+'Equipment Results Matrix'!$T$198)+R18</f>
        <v>14386.478249783642</v>
      </c>
      <c r="L13" s="328">
        <f t="shared" si="1"/>
        <v>14951.666249783642</v>
      </c>
      <c r="M13" s="328">
        <f>AVERAGE(I13:K13)*Inflation!$D$3</f>
        <v>16120.790356295554</v>
      </c>
      <c r="N13" s="227"/>
      <c r="P13" s="2031"/>
      <c r="Q13" s="15">
        <v>40</v>
      </c>
      <c r="R13" s="3">
        <f>((0.3405*(Q13)+12.225)*'Labor Results Matrix'!$G$73)*1.2*'Labor Adjustment'!$B$4</f>
        <v>1482.1856972313635</v>
      </c>
      <c r="S13" s="122">
        <f>R13*Inflation!$D$3</f>
        <v>1598.0830828478615</v>
      </c>
    </row>
    <row r="14" spans="1:19">
      <c r="A14" s="95" t="s">
        <v>686</v>
      </c>
      <c r="B14" s="95"/>
      <c r="C14" s="95"/>
      <c r="D14" s="95"/>
      <c r="E14" s="95"/>
      <c r="F14" s="95"/>
      <c r="G14" s="95"/>
      <c r="H14" s="95" t="s">
        <v>686</v>
      </c>
      <c r="I14" s="95"/>
      <c r="J14" s="95"/>
      <c r="K14" s="95"/>
      <c r="L14" s="95"/>
      <c r="M14" s="95"/>
      <c r="P14" s="2031"/>
      <c r="Q14" s="15">
        <v>50</v>
      </c>
      <c r="R14" s="3">
        <f>((0.3405*(Q14)+12.225)*'Labor Results Matrix'!$G$73)*1.2*'Labor Adjustment'!$B$4</f>
        <v>1677.4591466054317</v>
      </c>
      <c r="S14" s="122">
        <f>R14*Inflation!$D$3</f>
        <v>1808.6256596362912</v>
      </c>
    </row>
    <row r="15" spans="1:19" ht="34.5" customHeight="1">
      <c r="A15" s="95"/>
      <c r="B15" s="95"/>
      <c r="C15" s="95"/>
      <c r="D15" s="95"/>
      <c r="E15" s="95"/>
      <c r="F15" s="95"/>
      <c r="G15" s="95"/>
      <c r="H15" s="95"/>
      <c r="I15" s="95"/>
      <c r="L15" s="4"/>
      <c r="P15" s="2031" t="s">
        <v>370</v>
      </c>
      <c r="Q15" s="15">
        <v>60</v>
      </c>
      <c r="R15" s="3">
        <f>((0.0796*(Q15)+30.5)*'Labor Results Matrix'!$G$72)*1.2*'Labor Adjustment'!$B$4</f>
        <v>2267.4312581017239</v>
      </c>
      <c r="S15" s="122">
        <f>R15*Inflation!$D$3</f>
        <v>2444.7297945604091</v>
      </c>
    </row>
    <row r="16" spans="1:19" ht="15" customHeight="1">
      <c r="A16" s="4" t="s">
        <v>634</v>
      </c>
      <c r="B16" s="95"/>
      <c r="C16" s="95"/>
      <c r="D16" s="95"/>
      <c r="E16" s="95"/>
      <c r="F16" s="95"/>
      <c r="G16" s="95"/>
      <c r="H16" s="95"/>
      <c r="I16" s="95"/>
      <c r="P16" s="2031"/>
      <c r="Q16" s="118">
        <v>75</v>
      </c>
      <c r="R16" s="3">
        <f>((0.0796*(Q16)+30.5)*'Labor Results Matrix'!$G$72)*1.2*'Labor Adjustment'!$B$4</f>
        <v>2344.1778541492763</v>
      </c>
      <c r="S16" s="122">
        <f>R16*Inflation!$D$3</f>
        <v>2527.4774806559167</v>
      </c>
    </row>
    <row r="17" spans="1:19">
      <c r="A17" s="95"/>
      <c r="B17" s="95"/>
      <c r="C17" s="95"/>
      <c r="D17" s="95"/>
      <c r="E17" s="95"/>
      <c r="F17" s="95"/>
      <c r="G17" s="95"/>
      <c r="H17" s="95"/>
      <c r="I17" s="95"/>
      <c r="P17" s="2031"/>
      <c r="Q17" s="119">
        <v>100</v>
      </c>
      <c r="R17" s="3">
        <f>((0.0796*(Q17)+30.5)*'Labor Results Matrix'!$G$72)*1.2*'Labor Adjustment'!$B$4</f>
        <v>2472.088847561864</v>
      </c>
      <c r="S17" s="122">
        <f>R17*Inflation!$D$3</f>
        <v>2665.3902908150967</v>
      </c>
    </row>
    <row r="18" spans="1:19">
      <c r="A18" s="95"/>
      <c r="B18" s="95"/>
      <c r="C18" s="95"/>
      <c r="D18" s="95"/>
      <c r="E18" s="95"/>
      <c r="F18" s="95"/>
      <c r="G18" s="95"/>
      <c r="H18" s="95"/>
      <c r="I18" s="95"/>
      <c r="P18" s="2031"/>
      <c r="Q18" s="119">
        <v>200</v>
      </c>
      <c r="R18" s="3">
        <f>((0.0796*(Q18)+30.5)*'Labor Results Matrix'!$G$72)*1.2*'Labor Adjustment'!$B$4</f>
        <v>2983.7328212122138</v>
      </c>
      <c r="S18" s="122">
        <f>R18*Inflation!$D$3</f>
        <v>3217.041531451815</v>
      </c>
    </row>
    <row r="20" spans="1:19" ht="21">
      <c r="A20" s="2024" t="s">
        <v>463</v>
      </c>
      <c r="B20" s="2025"/>
      <c r="C20" s="2025"/>
      <c r="D20" s="2025"/>
      <c r="E20" s="2025"/>
      <c r="F20" s="2025"/>
      <c r="G20" s="2025"/>
      <c r="H20" s="2025"/>
      <c r="I20" s="2026"/>
      <c r="K20" s="2030" t="s">
        <v>465</v>
      </c>
      <c r="L20" s="2030"/>
      <c r="M20" s="2030"/>
      <c r="N20" s="2030"/>
      <c r="O20" s="2030"/>
      <c r="P20" s="2030"/>
      <c r="Q20" s="2030"/>
      <c r="R20" s="2030"/>
      <c r="S20" s="2030"/>
    </row>
    <row r="21" spans="1:19">
      <c r="A21" s="2023" t="s">
        <v>50</v>
      </c>
      <c r="B21" s="2027" t="s">
        <v>420</v>
      </c>
      <c r="C21" s="2028"/>
      <c r="D21" s="2028"/>
      <c r="E21" s="2028"/>
      <c r="F21" s="2028"/>
      <c r="G21" s="2028"/>
      <c r="H21" s="2028"/>
      <c r="I21" s="2029"/>
      <c r="K21" s="2023" t="s">
        <v>50</v>
      </c>
      <c r="L21" s="2023" t="s">
        <v>685</v>
      </c>
      <c r="M21" s="2023"/>
      <c r="N21" s="2023"/>
      <c r="O21" s="2023"/>
      <c r="P21" s="2023"/>
      <c r="Q21" s="2023"/>
      <c r="R21" s="2023"/>
      <c r="S21" s="2023"/>
    </row>
    <row r="22" spans="1:19" ht="86.4">
      <c r="A22" s="2023"/>
      <c r="B22" s="223" t="s">
        <v>127</v>
      </c>
      <c r="C22" s="223" t="s">
        <v>128</v>
      </c>
      <c r="D22" s="223" t="s">
        <v>129</v>
      </c>
      <c r="E22" s="223" t="s">
        <v>133</v>
      </c>
      <c r="F22" s="223" t="s">
        <v>134</v>
      </c>
      <c r="G22" s="223" t="s">
        <v>135</v>
      </c>
      <c r="H22" s="223" t="s">
        <v>404</v>
      </c>
      <c r="I22" s="223" t="s">
        <v>405</v>
      </c>
      <c r="K22" s="2023"/>
      <c r="L22" s="223" t="s">
        <v>130</v>
      </c>
      <c r="M22" s="223" t="s">
        <v>131</v>
      </c>
      <c r="N22" s="223" t="s">
        <v>132</v>
      </c>
      <c r="O22" s="223" t="s">
        <v>136</v>
      </c>
      <c r="P22" s="223" t="s">
        <v>137</v>
      </c>
      <c r="Q22" s="223" t="s">
        <v>138</v>
      </c>
      <c r="R22" s="223" t="s">
        <v>404</v>
      </c>
      <c r="S22" s="223" t="s">
        <v>405</v>
      </c>
    </row>
    <row r="23" spans="1:19">
      <c r="A23" s="224">
        <v>2</v>
      </c>
      <c r="B23" s="3">
        <f>(((A23*'Equipment Results Matrix'!$R$200)+'Equipment Results Matrix'!$R$201+'Equipment Results Matrix'!$T$207+'Equipment Results Matrix'!$R$203+'Equipment Results Matrix'!$R$205+'Equipment Results Matrix'!$R$209)*(1+'Equipment Results Matrix'!$T$209))+$R$3</f>
        <v>2668.4654078475414</v>
      </c>
      <c r="C23" s="3">
        <f>((A23*'Equipment Results Matrix'!$R$200)+'Equipment Results Matrix'!$R$201+'Equipment Results Matrix'!$T$207+'Equipment Results Matrix'!$R$203+'Equipment Results Matrix'!$R$206+'Equipment Results Matrix'!$R$209)*(1+'Equipment Results Matrix'!$T$209)+$R$3</f>
        <v>1742.3534078475411</v>
      </c>
      <c r="D23" s="3">
        <f>((A23*'Equipment Results Matrix'!$R$200)+'Equipment Results Matrix'!$R$201+'Equipment Results Matrix'!$T$207+'Equipment Results Matrix'!$R$203+'Equipment Results Matrix'!$R$207+'Equipment Results Matrix'!$R$209)*(1+'Equipment Results Matrix'!$T$209)+$R$3</f>
        <v>1444.0454078475411</v>
      </c>
      <c r="E23" s="3">
        <f>((A23*'Equipment Results Matrix'!$R$200)+'Equipment Results Matrix'!$R$201+'Equipment Results Matrix'!$T$207+'Equipment Results Matrix'!$R$203+'Equipment Results Matrix'!$R$205+'Equipment Results Matrix'!$R$208)*(1+'Equipment Results Matrix'!$T$209)+$R$3</f>
        <v>2805.8174078475413</v>
      </c>
      <c r="F23" s="3">
        <f>((A23*'Equipment Results Matrix'!$R$200)+'Equipment Results Matrix'!$R$201+'Equipment Results Matrix'!$T$207+'Equipment Results Matrix'!$R$203+'Equipment Results Matrix'!$R$206+'Equipment Results Matrix'!$R$208)*(1+'Equipment Results Matrix'!$T$209)+$R$3</f>
        <v>1879.705407847541</v>
      </c>
      <c r="G23" s="3">
        <f>((A23*'Equipment Results Matrix'!$R$200)+'Equipment Results Matrix'!$R$201+'Equipment Results Matrix'!$T$207+'Equipment Results Matrix'!$R$203+'Equipment Results Matrix'!$R$207+'Equipment Results Matrix'!$R$208)*(1+'Equipment Results Matrix'!$T$209)+$R$3</f>
        <v>1581.3974078475412</v>
      </c>
      <c r="H23" s="328">
        <f t="shared" ref="H23:H28" si="2">AVERAGE(B23:G23)</f>
        <v>2020.2974078475411</v>
      </c>
      <c r="I23" s="328">
        <f>H23*Inflation!$D$3</f>
        <v>2178.2716671962116</v>
      </c>
      <c r="K23" s="224">
        <v>2</v>
      </c>
      <c r="L23" s="3">
        <f>((K23*'Equipment Results Matrix'!$R$200)+'Equipment Results Matrix'!$R$201+'Equipment Results Matrix'!$T$207+'Equipment Results Matrix'!$R$204+'Equipment Results Matrix'!$R$205+'Equipment Results Matrix'!$R$209)*(1+'Equipment Results Matrix'!$T$209)+$AD$3</f>
        <v>1782.6044651162792</v>
      </c>
      <c r="M23" s="3">
        <f>((K23*'Equipment Results Matrix'!$R$200)+'Equipment Results Matrix'!$R$201+'Equipment Results Matrix'!$T$207+'Equipment Results Matrix'!$R$204+'Equipment Results Matrix'!$R$206+'Equipment Results Matrix'!$R$209)*(1+'Equipment Results Matrix'!$T$209)+$AD$3</f>
        <v>856.49246511627905</v>
      </c>
      <c r="N23" s="3">
        <f>((K23*'Equipment Results Matrix'!$R$200)+'Equipment Results Matrix'!$R$201+'Equipment Results Matrix'!$T$207+'Equipment Results Matrix'!$R$204+'Equipment Results Matrix'!$R$207+'Equipment Results Matrix'!$R$209)*(1+'Equipment Results Matrix'!$T$209)+$AD$3</f>
        <v>558.18446511627906</v>
      </c>
      <c r="O23" s="3">
        <f>((K23*'Equipment Results Matrix'!$R$200)+'Equipment Results Matrix'!$R$201+'Equipment Results Matrix'!$T$207+'Equipment Results Matrix'!$R$204+'Equipment Results Matrix'!$R$205+'Equipment Results Matrix'!$R$208)*(1+'Equipment Results Matrix'!$T$209)+$AD$3</f>
        <v>1919.9564651162791</v>
      </c>
      <c r="P23" s="3">
        <f>((K23*'Equipment Results Matrix'!$R$200)+'Equipment Results Matrix'!$R$201+'Equipment Results Matrix'!$T$207+'Equipment Results Matrix'!$R$204+'Equipment Results Matrix'!$R$206+'Equipment Results Matrix'!$R$208)*(1+'Equipment Results Matrix'!$T$209)+$AD$3</f>
        <v>993.84446511627914</v>
      </c>
      <c r="Q23" s="3">
        <f>((K23*'Equipment Results Matrix'!$R$200)+'Equipment Results Matrix'!$R$201+'Equipment Results Matrix'!$T$207+'Equipment Results Matrix'!$R$204+'Equipment Results Matrix'!$R$207+'Equipment Results Matrix'!$R$208)*(1+'Equipment Results Matrix'!$T$209)+$AD$3</f>
        <v>695.53646511627915</v>
      </c>
      <c r="R23" s="328">
        <f t="shared" ref="R23:R28" si="3">AVERAGE(L23:Q23)</f>
        <v>1134.4364651162791</v>
      </c>
      <c r="S23" s="328">
        <f>R23*Inflation!$D$3</f>
        <v>1223.1420980883095</v>
      </c>
    </row>
    <row r="24" spans="1:19">
      <c r="A24" s="220">
        <v>3</v>
      </c>
      <c r="B24" s="3">
        <f>(((A24*'Equipment Results Matrix'!$R$200)+'Equipment Results Matrix'!$R$201+'Equipment Results Matrix'!$T$207+'Equipment Results Matrix'!$R$203+'Equipment Results Matrix'!$R$205+'Equipment Results Matrix'!$R$209)*(1+'Equipment Results Matrix'!$T$209))+$R$4</f>
        <v>2745.1151652489179</v>
      </c>
      <c r="C24" s="3">
        <f>((A24*'Equipment Results Matrix'!$R$200)+'Equipment Results Matrix'!$R$201+'Equipment Results Matrix'!$T$207+'Equipment Results Matrix'!$R$203+'Equipment Results Matrix'!$R$206+'Equipment Results Matrix'!$R$209)*(1+'Equipment Results Matrix'!$T$209)+$R$4</f>
        <v>1819.0031652489183</v>
      </c>
      <c r="D24" s="3">
        <f>((A24*'Equipment Results Matrix'!$R$200)+'Equipment Results Matrix'!$R$201+'Equipment Results Matrix'!$T$207+'Equipment Results Matrix'!$R$203+'Equipment Results Matrix'!$R$207+'Equipment Results Matrix'!$R$209)*(1+'Equipment Results Matrix'!$T$209)+$R$4</f>
        <v>1520.6951652489186</v>
      </c>
      <c r="E24" s="3">
        <f>((A24*'Equipment Results Matrix'!$R$200)+'Equipment Results Matrix'!$R$201+'Equipment Results Matrix'!$T$207+'Equipment Results Matrix'!$R$203+'Equipment Results Matrix'!$R$205+'Equipment Results Matrix'!$R$208)*(1+'Equipment Results Matrix'!$T$209)+$R$4</f>
        <v>2882.4671652489187</v>
      </c>
      <c r="F24" s="3">
        <f>((A24*'Equipment Results Matrix'!$R$200)+'Equipment Results Matrix'!$R$201+'Equipment Results Matrix'!$T$207+'Equipment Results Matrix'!$R$203+'Equipment Results Matrix'!$R$206+'Equipment Results Matrix'!$R$208)*(1+'Equipment Results Matrix'!$T$209)+$R$4</f>
        <v>1956.3551652489184</v>
      </c>
      <c r="G24" s="3">
        <f>((A24*'Equipment Results Matrix'!$R$200)+'Equipment Results Matrix'!$R$201+'Equipment Results Matrix'!$T$207+'Equipment Results Matrix'!$R$203+'Equipment Results Matrix'!$R$207+'Equipment Results Matrix'!$R$208)*(1+'Equipment Results Matrix'!$T$209)+$R$4</f>
        <v>1658.0471652489186</v>
      </c>
      <c r="H24" s="328">
        <f t="shared" si="2"/>
        <v>2096.9471652489187</v>
      </c>
      <c r="I24" s="328">
        <f>H24*Inflation!$D$3</f>
        <v>2260.9149424864427</v>
      </c>
      <c r="J24" s="95"/>
      <c r="K24" s="220">
        <v>3</v>
      </c>
      <c r="L24" s="3">
        <f>((K24*'Equipment Results Matrix'!$R$200)+'Equipment Results Matrix'!$R$201+'Equipment Results Matrix'!$T$207+'Equipment Results Matrix'!$R$204+'Equipment Results Matrix'!$R$205+'Equipment Results Matrix'!$R$209)*(1+'Equipment Results Matrix'!$T$209)+$AD$4</f>
        <v>1840.1684651162789</v>
      </c>
      <c r="M24" s="3">
        <f>((K24*'Equipment Results Matrix'!$R$200)+'Equipment Results Matrix'!$R$201+'Equipment Results Matrix'!$T$207+'Equipment Results Matrix'!$R$204+'Equipment Results Matrix'!$R$206+'Equipment Results Matrix'!$R$209)*(1+'Equipment Results Matrix'!$T$209)+$AD$4</f>
        <v>914.05646511627913</v>
      </c>
      <c r="N24" s="3">
        <f>((K24*'Equipment Results Matrix'!$R$200)+'Equipment Results Matrix'!$R$201+'Equipment Results Matrix'!$T$207+'Equipment Results Matrix'!$R$204+'Equipment Results Matrix'!$R$207+'Equipment Results Matrix'!$R$209)*(1+'Equipment Results Matrix'!$T$209)+$AD$4</f>
        <v>615.74846511627914</v>
      </c>
      <c r="O24" s="3">
        <f>((K24*'Equipment Results Matrix'!$R$200)+'Equipment Results Matrix'!$R$201+'Equipment Results Matrix'!$T$207+'Equipment Results Matrix'!$R$204+'Equipment Results Matrix'!$R$205+'Equipment Results Matrix'!$R$208)*(1+'Equipment Results Matrix'!$T$209)+$AD$4</f>
        <v>1977.520465116279</v>
      </c>
      <c r="P24" s="3">
        <f>((K24*'Equipment Results Matrix'!$R$200)+'Equipment Results Matrix'!$R$201+'Equipment Results Matrix'!$T$207+'Equipment Results Matrix'!$R$204+'Equipment Results Matrix'!$R$206+'Equipment Results Matrix'!$R$208)*(1+'Equipment Results Matrix'!$T$209)+$AD$4</f>
        <v>1051.4084651162791</v>
      </c>
      <c r="Q24" s="3">
        <f>((K24*'Equipment Results Matrix'!$R$200)+'Equipment Results Matrix'!$R$201+'Equipment Results Matrix'!$T$207+'Equipment Results Matrix'!$R$204+'Equipment Results Matrix'!$R$207+'Equipment Results Matrix'!$R$208)*(1+'Equipment Results Matrix'!$T$209)+$AD$4</f>
        <v>753.10046511627911</v>
      </c>
      <c r="R24" s="328">
        <f t="shared" si="3"/>
        <v>1192.0004651162792</v>
      </c>
      <c r="S24" s="328">
        <f>R24*Inflation!$D$3</f>
        <v>1285.2072325400115</v>
      </c>
    </row>
    <row r="25" spans="1:19">
      <c r="A25" s="220">
        <v>4</v>
      </c>
      <c r="B25" s="3">
        <f>(((A25*'Equipment Results Matrix'!$R$200)+'Equipment Results Matrix'!$R$201+'Equipment Results Matrix'!$T$207+'Equipment Results Matrix'!$R$203+'Equipment Results Matrix'!$R$205+'Equipment Results Matrix'!$R$209)*(1+'Equipment Results Matrix'!$T$209))+$R$5</f>
        <v>2821.7649226502958</v>
      </c>
      <c r="C25" s="3">
        <f>((A25*'Equipment Results Matrix'!$R$200)+'Equipment Results Matrix'!$R$201+'Equipment Results Matrix'!$T$207+'Equipment Results Matrix'!$R$203+'Equipment Results Matrix'!$R$206+'Equipment Results Matrix'!$R$209)*(1+'Equipment Results Matrix'!$T$209)+$R$5</f>
        <v>1895.6529226502957</v>
      </c>
      <c r="D25" s="3">
        <f>((A25*'Equipment Results Matrix'!$R$200)+'Equipment Results Matrix'!$R$201+'Equipment Results Matrix'!$T$207+'Equipment Results Matrix'!$R$203+'Equipment Results Matrix'!$R$207+'Equipment Results Matrix'!$R$209)*(1+'Equipment Results Matrix'!$T$209)+$R$5</f>
        <v>1597.344922650296</v>
      </c>
      <c r="E25" s="3">
        <f>((A25*'Equipment Results Matrix'!$R$200)+'Equipment Results Matrix'!$R$201+'Equipment Results Matrix'!$T$207+'Equipment Results Matrix'!$R$203+'Equipment Results Matrix'!$R$205+'Equipment Results Matrix'!$R$208)*(1+'Equipment Results Matrix'!$T$209)+$R$5</f>
        <v>2959.1169226502961</v>
      </c>
      <c r="F25" s="3">
        <f>((A25*'Equipment Results Matrix'!$R$200)+'Equipment Results Matrix'!$R$201+'Equipment Results Matrix'!$T$207+'Equipment Results Matrix'!$R$203+'Equipment Results Matrix'!$R$206+'Equipment Results Matrix'!$R$208)*(1+'Equipment Results Matrix'!$T$209)+$R$5</f>
        <v>2033.0049226502961</v>
      </c>
      <c r="G25" s="3">
        <f>((A25*'Equipment Results Matrix'!$R$200)+'Equipment Results Matrix'!$R$201+'Equipment Results Matrix'!$T$207+'Equipment Results Matrix'!$R$203+'Equipment Results Matrix'!$R$207+'Equipment Results Matrix'!$R$208)*(1+'Equipment Results Matrix'!$T$209)+$R$5</f>
        <v>1734.6969226502961</v>
      </c>
      <c r="H25" s="328">
        <f t="shared" si="2"/>
        <v>2173.5969226502962</v>
      </c>
      <c r="I25" s="328">
        <f>H25*Inflation!$D$3</f>
        <v>2343.5582177766732</v>
      </c>
      <c r="J25" s="95"/>
      <c r="K25" s="220">
        <v>4</v>
      </c>
      <c r="L25" s="3">
        <f>((K25*'Equipment Results Matrix'!$R$200)+'Equipment Results Matrix'!$R$201+'Equipment Results Matrix'!$T$207+'Equipment Results Matrix'!$R$204+'Equipment Results Matrix'!$R$205+'Equipment Results Matrix'!$R$209)*(1+'Equipment Results Matrix'!$T$209)+$AD$5</f>
        <v>1897.7324651162792</v>
      </c>
      <c r="M25" s="3">
        <f>((K25*'Equipment Results Matrix'!$R$200)+'Equipment Results Matrix'!$R$201+'Equipment Results Matrix'!$T$207+'Equipment Results Matrix'!$R$204+'Equipment Results Matrix'!$R$206+'Equipment Results Matrix'!$R$209)*(1+'Equipment Results Matrix'!$T$209)+$AD$5</f>
        <v>971.62046511627909</v>
      </c>
      <c r="N25" s="3">
        <f>((K25*'Equipment Results Matrix'!$R$200)+'Equipment Results Matrix'!$R$201+'Equipment Results Matrix'!$T$207+'Equipment Results Matrix'!$R$204+'Equipment Results Matrix'!$R$207+'Equipment Results Matrix'!$R$209)*(1+'Equipment Results Matrix'!$T$209)+$AD$5</f>
        <v>673.3124651162791</v>
      </c>
      <c r="O25" s="3">
        <f>((K25*'Equipment Results Matrix'!$R$200)+'Equipment Results Matrix'!$R$201+'Equipment Results Matrix'!$T$207+'Equipment Results Matrix'!$R$204+'Equipment Results Matrix'!$R$205+'Equipment Results Matrix'!$R$208)*(1+'Equipment Results Matrix'!$T$209)+$AD$5</f>
        <v>2035.0844651162793</v>
      </c>
      <c r="P25" s="3">
        <f>((K25*'Equipment Results Matrix'!$R$200)+'Equipment Results Matrix'!$R$201+'Equipment Results Matrix'!$T$207+'Equipment Results Matrix'!$R$204+'Equipment Results Matrix'!$R$206+'Equipment Results Matrix'!$R$208)*(1+'Equipment Results Matrix'!$T$209)+$AD$5</f>
        <v>1108.9724651162792</v>
      </c>
      <c r="Q25" s="3">
        <f>((K25*'Equipment Results Matrix'!$R$200)+'Equipment Results Matrix'!$R$201+'Equipment Results Matrix'!$T$207+'Equipment Results Matrix'!$R$204+'Equipment Results Matrix'!$R$207+'Equipment Results Matrix'!$R$208)*(1+'Equipment Results Matrix'!$T$209)+$AD$5</f>
        <v>810.66446511627919</v>
      </c>
      <c r="R25" s="328">
        <f t="shared" si="3"/>
        <v>1249.5644651162793</v>
      </c>
      <c r="S25" s="328">
        <f>R25*Inflation!$D$3</f>
        <v>1347.2723669917139</v>
      </c>
    </row>
    <row r="26" spans="1:19" ht="15" customHeight="1">
      <c r="A26" s="220">
        <v>5</v>
      </c>
      <c r="B26" s="3">
        <f>(((A26*'Equipment Results Matrix'!$R$200)+'Equipment Results Matrix'!$R$201+'Equipment Results Matrix'!$T$207+'Equipment Results Matrix'!$R$203+'Equipment Results Matrix'!$R$205+'Equipment Results Matrix'!$R$209)*(1+'Equipment Results Matrix'!$T$209))+$R$6</f>
        <v>2898.4146800516728</v>
      </c>
      <c r="C26" s="3">
        <f>((A26*'Equipment Results Matrix'!$R$200)+'Equipment Results Matrix'!$R$201+'Equipment Results Matrix'!$T$207+'Equipment Results Matrix'!$R$203+'Equipment Results Matrix'!$R$206+'Equipment Results Matrix'!$R$209)*(1+'Equipment Results Matrix'!$T$209)+$R$6</f>
        <v>1972.3026800516732</v>
      </c>
      <c r="D26" s="3">
        <f>((A26*'Equipment Results Matrix'!$R$200)+'Equipment Results Matrix'!$R$201+'Equipment Results Matrix'!$T$207+'Equipment Results Matrix'!$R$203+'Equipment Results Matrix'!$R$207+'Equipment Results Matrix'!$R$209)*(1+'Equipment Results Matrix'!$T$209)+$R$6</f>
        <v>1673.9946800516732</v>
      </c>
      <c r="E26" s="3">
        <f>((A26*'Equipment Results Matrix'!$R$200)+'Equipment Results Matrix'!$R$201+'Equipment Results Matrix'!$T$207+'Equipment Results Matrix'!$R$203+'Equipment Results Matrix'!$R$205+'Equipment Results Matrix'!$R$208)*(1+'Equipment Results Matrix'!$T$209)+$R$6</f>
        <v>3035.7666800516736</v>
      </c>
      <c r="F26" s="3">
        <f>((A26*'Equipment Results Matrix'!$R$200)+'Equipment Results Matrix'!$R$201+'Equipment Results Matrix'!$T$207+'Equipment Results Matrix'!$R$203+'Equipment Results Matrix'!$R$206+'Equipment Results Matrix'!$R$208)*(1+'Equipment Results Matrix'!$T$209)+$R$6</f>
        <v>2109.6546800516735</v>
      </c>
      <c r="G26" s="3">
        <f>((A26*'Equipment Results Matrix'!$R$200)+'Equipment Results Matrix'!$R$201+'Equipment Results Matrix'!$T$207+'Equipment Results Matrix'!$R$203+'Equipment Results Matrix'!$R$207+'Equipment Results Matrix'!$R$208)*(1+'Equipment Results Matrix'!$T$209)+$R$6</f>
        <v>1811.3466800516733</v>
      </c>
      <c r="H26" s="328">
        <f t="shared" si="2"/>
        <v>2250.2466800516736</v>
      </c>
      <c r="I26" s="328">
        <f>H26*Inflation!$D$3</f>
        <v>2426.2014930669038</v>
      </c>
      <c r="J26" s="95"/>
      <c r="K26" s="220">
        <v>5</v>
      </c>
      <c r="L26" s="3">
        <f>((K26*'Equipment Results Matrix'!$R$200)+'Equipment Results Matrix'!$R$201+'Equipment Results Matrix'!$T$207+'Equipment Results Matrix'!$R$204+'Equipment Results Matrix'!$R$205+'Equipment Results Matrix'!$R$209)*(1+'Equipment Results Matrix'!$T$209)+$AD$6</f>
        <v>1955.296465116279</v>
      </c>
      <c r="M26" s="3">
        <f>((K26*'Equipment Results Matrix'!$R$200)+'Equipment Results Matrix'!$R$201+'Equipment Results Matrix'!$T$207+'Equipment Results Matrix'!$R$204+'Equipment Results Matrix'!$R$206+'Equipment Results Matrix'!$R$209)*(1+'Equipment Results Matrix'!$T$209)+$AD$6</f>
        <v>1029.1844651162789</v>
      </c>
      <c r="N26" s="3">
        <f>((K26*'Equipment Results Matrix'!$R$200)+'Equipment Results Matrix'!$R$201+'Equipment Results Matrix'!$T$207+'Equipment Results Matrix'!$R$204+'Equipment Results Matrix'!$R$207+'Equipment Results Matrix'!$R$209)*(1+'Equipment Results Matrix'!$T$209)+$AD$6</f>
        <v>730.87646511627906</v>
      </c>
      <c r="O26" s="3">
        <f>((K26*'Equipment Results Matrix'!$R$200)+'Equipment Results Matrix'!$R$201+'Equipment Results Matrix'!$T$207+'Equipment Results Matrix'!$R$204+'Equipment Results Matrix'!$R$205+'Equipment Results Matrix'!$R$208)*(1+'Equipment Results Matrix'!$T$209)+$AD$6</f>
        <v>2092.6484651162791</v>
      </c>
      <c r="P26" s="3">
        <f>((K26*'Equipment Results Matrix'!$R$200)+'Equipment Results Matrix'!$R$201+'Equipment Results Matrix'!$T$207+'Equipment Results Matrix'!$R$204+'Equipment Results Matrix'!$R$206+'Equipment Results Matrix'!$R$208)*(1+'Equipment Results Matrix'!$T$209)+$AD$6</f>
        <v>1166.536465116279</v>
      </c>
      <c r="Q26" s="3">
        <f>((K26*'Equipment Results Matrix'!$R$200)+'Equipment Results Matrix'!$R$201+'Equipment Results Matrix'!$T$207+'Equipment Results Matrix'!$R$204+'Equipment Results Matrix'!$R$207+'Equipment Results Matrix'!$R$208)*(1+'Equipment Results Matrix'!$T$209)+$AD$6</f>
        <v>868.22846511627904</v>
      </c>
      <c r="R26" s="328">
        <f t="shared" si="3"/>
        <v>1307.1284651162791</v>
      </c>
      <c r="S26" s="328">
        <f>R26*Inflation!$D$3</f>
        <v>1409.3375014434157</v>
      </c>
    </row>
    <row r="27" spans="1:19">
      <c r="A27" s="121">
        <v>7.5</v>
      </c>
      <c r="B27" s="3">
        <f>(((A27*'Equipment Results Matrix'!$R$200)+'Equipment Results Matrix'!$R$201+'Equipment Results Matrix'!$T$207+'Equipment Results Matrix'!$R$203+'Equipment Results Matrix'!$R$205+'Equipment Results Matrix'!$R$209)*(1+'Equipment Results Matrix'!$T$209))+$R$6</f>
        <v>3042.3246800516736</v>
      </c>
      <c r="C27" s="3">
        <f>((A27*'Equipment Results Matrix'!$R$200)+'Equipment Results Matrix'!$R$201+'Equipment Results Matrix'!$T$207+'Equipment Results Matrix'!$R$203+'Equipment Results Matrix'!$R$206+'Equipment Results Matrix'!$R$209)*(1+'Equipment Results Matrix'!$T$209)+$R$6</f>
        <v>2116.212680051673</v>
      </c>
      <c r="D27" s="3">
        <f>((A27*'Equipment Results Matrix'!$R$200)+'Equipment Results Matrix'!$R$201+'Equipment Results Matrix'!$T$207+'Equipment Results Matrix'!$R$203+'Equipment Results Matrix'!$R$207+'Equipment Results Matrix'!$R$209)*(1+'Equipment Results Matrix'!$T$209)+$R$6</f>
        <v>1817.9046800516733</v>
      </c>
      <c r="E27" s="3">
        <f>((A27*'Equipment Results Matrix'!$R$200)+'Equipment Results Matrix'!$R$201+'Equipment Results Matrix'!$T$207+'Equipment Results Matrix'!$R$203+'Equipment Results Matrix'!$R$205+'Equipment Results Matrix'!$R$208)*(1+'Equipment Results Matrix'!$T$209)+$R$6</f>
        <v>3179.6766800516734</v>
      </c>
      <c r="F27" s="3">
        <f>((A27*'Equipment Results Matrix'!$R$200)+'Equipment Results Matrix'!$R$201+'Equipment Results Matrix'!$T$207+'Equipment Results Matrix'!$R$203+'Equipment Results Matrix'!$R$206+'Equipment Results Matrix'!$R$208)*(1+'Equipment Results Matrix'!$T$209)+$R$6</f>
        <v>2253.5646800516733</v>
      </c>
      <c r="G27" s="3">
        <f>((A27*'Equipment Results Matrix'!$R$200)+'Equipment Results Matrix'!$R$201+'Equipment Results Matrix'!$T$207+'Equipment Results Matrix'!$R$203+'Equipment Results Matrix'!$R$207+'Equipment Results Matrix'!$R$208)*(1+'Equipment Results Matrix'!$T$209)+$R$6</f>
        <v>1955.2566800516734</v>
      </c>
      <c r="H27" s="328">
        <f t="shared" si="2"/>
        <v>2394.1566800516734</v>
      </c>
      <c r="I27" s="328">
        <f>H27*Inflation!$D$3</f>
        <v>2581.3643291961589</v>
      </c>
      <c r="J27" s="95"/>
      <c r="K27" s="121">
        <v>7.5</v>
      </c>
      <c r="L27" s="3">
        <f>((K27*'Equipment Results Matrix'!$R$200)+'Equipment Results Matrix'!$R$201+'Equipment Results Matrix'!$T$207+'Equipment Results Matrix'!$R$204+'Equipment Results Matrix'!$R$205+'Equipment Results Matrix'!$R$209)*(1+'Equipment Results Matrix'!$T$209)+$AD$6</f>
        <v>2099.2064651162791</v>
      </c>
      <c r="M27" s="3">
        <f>((K27*'Equipment Results Matrix'!$R$200)+'Equipment Results Matrix'!$R$201+'Equipment Results Matrix'!$T$207+'Equipment Results Matrix'!$R$204+'Equipment Results Matrix'!$R$206+'Equipment Results Matrix'!$R$209)*(1+'Equipment Results Matrix'!$T$209)+$AD$6</f>
        <v>1173.094465116279</v>
      </c>
      <c r="N27" s="3">
        <f>((K27*'Equipment Results Matrix'!$R$200)+'Equipment Results Matrix'!$R$201+'Equipment Results Matrix'!$T$207+'Equipment Results Matrix'!$R$204+'Equipment Results Matrix'!$R$207+'Equipment Results Matrix'!$R$209)*(1+'Equipment Results Matrix'!$T$209)+$AD$6</f>
        <v>874.78646511627915</v>
      </c>
      <c r="O27" s="3">
        <f>((K27*'Equipment Results Matrix'!$R$200)+'Equipment Results Matrix'!$R$201+'Equipment Results Matrix'!$T$207+'Equipment Results Matrix'!$R$204+'Equipment Results Matrix'!$R$205+'Equipment Results Matrix'!$R$208)*(1+'Equipment Results Matrix'!$T$209)+$AD$6</f>
        <v>2236.5584651162794</v>
      </c>
      <c r="P27" s="3">
        <f>((K27*'Equipment Results Matrix'!$R$200)+'Equipment Results Matrix'!$R$201+'Equipment Results Matrix'!$T$207+'Equipment Results Matrix'!$R$204+'Equipment Results Matrix'!$R$206+'Equipment Results Matrix'!$R$208)*(1+'Equipment Results Matrix'!$T$209)+$AD$6</f>
        <v>1310.4464651162791</v>
      </c>
      <c r="Q27" s="3">
        <f>((K27*'Equipment Results Matrix'!$R$200)+'Equipment Results Matrix'!$R$201+'Equipment Results Matrix'!$T$207+'Equipment Results Matrix'!$R$204+'Equipment Results Matrix'!$R$207+'Equipment Results Matrix'!$R$208)*(1+'Equipment Results Matrix'!$T$209)+$AD$6</f>
        <v>1012.1384651162791</v>
      </c>
      <c r="R27" s="328">
        <f t="shared" si="3"/>
        <v>1451.0384651162792</v>
      </c>
      <c r="S27" s="328">
        <f>R27*Inflation!$D$3</f>
        <v>1564.5003375726708</v>
      </c>
    </row>
    <row r="28" spans="1:19">
      <c r="A28" s="121">
        <v>10</v>
      </c>
      <c r="B28" s="3">
        <f>(((A28*'Equipment Results Matrix'!$R$200)+'Equipment Results Matrix'!$R$201+'Equipment Results Matrix'!$T$207+'Equipment Results Matrix'!$R$203+'Equipment Results Matrix'!$R$205+'Equipment Results Matrix'!$R$209)*(1+'Equipment Results Matrix'!$T$209))+$R$6</f>
        <v>3186.2346800516734</v>
      </c>
      <c r="C28" s="3">
        <f>((A28*'Equipment Results Matrix'!$R$200)+'Equipment Results Matrix'!$R$201+'Equipment Results Matrix'!$T$207+'Equipment Results Matrix'!$R$203+'Equipment Results Matrix'!$R$206+'Equipment Results Matrix'!$R$209)*(1+'Equipment Results Matrix'!$T$209)+$R$6</f>
        <v>2260.1226800516733</v>
      </c>
      <c r="D28" s="3">
        <f>((A28*'Equipment Results Matrix'!$R$200)+'Equipment Results Matrix'!$R$201+'Equipment Results Matrix'!$T$207+'Equipment Results Matrix'!$R$203+'Equipment Results Matrix'!$R$207+'Equipment Results Matrix'!$R$209)*(1+'Equipment Results Matrix'!$T$209)+$R$6</f>
        <v>1961.8146800516731</v>
      </c>
      <c r="E28" s="3">
        <f>((A28*'Equipment Results Matrix'!$R$200)+'Equipment Results Matrix'!$R$201+'Equipment Results Matrix'!$T$207+'Equipment Results Matrix'!$R$203+'Equipment Results Matrix'!$R$205+'Equipment Results Matrix'!$R$208)*(1+'Equipment Results Matrix'!$T$209)+$R$6</f>
        <v>3323.5866800516733</v>
      </c>
      <c r="F28" s="3">
        <f>((A28*'Equipment Results Matrix'!$R$200)+'Equipment Results Matrix'!$R$201+'Equipment Results Matrix'!$T$207+'Equipment Results Matrix'!$R$203+'Equipment Results Matrix'!$R$206+'Equipment Results Matrix'!$R$208)*(1+'Equipment Results Matrix'!$T$209)+$R$6</f>
        <v>2397.4746800516732</v>
      </c>
      <c r="G28" s="3">
        <f>((A28*'Equipment Results Matrix'!$R$200)+'Equipment Results Matrix'!$R$201+'Equipment Results Matrix'!$T$207+'Equipment Results Matrix'!$R$203+'Equipment Results Matrix'!$R$207+'Equipment Results Matrix'!$R$208)*(1+'Equipment Results Matrix'!$T$209)+$R$6</f>
        <v>2099.1666800516732</v>
      </c>
      <c r="H28" s="328">
        <f t="shared" si="2"/>
        <v>2538.0666800516733</v>
      </c>
      <c r="I28" s="328">
        <f>H28*Inflation!$D$3</f>
        <v>2736.5271653254135</v>
      </c>
      <c r="J28" s="95"/>
      <c r="K28" s="121">
        <v>10</v>
      </c>
      <c r="L28" s="3">
        <f>((K28*'Equipment Results Matrix'!$R$200)+'Equipment Results Matrix'!$R$201+'Equipment Results Matrix'!$T$207+'Equipment Results Matrix'!$R$204+'Equipment Results Matrix'!$R$205+'Equipment Results Matrix'!$R$209)*(1+'Equipment Results Matrix'!$T$209)+$AD$6</f>
        <v>2243.116465116279</v>
      </c>
      <c r="M28" s="3">
        <f>((K28*'Equipment Results Matrix'!$R$200)+'Equipment Results Matrix'!$R$201+'Equipment Results Matrix'!$T$207+'Equipment Results Matrix'!$R$204+'Equipment Results Matrix'!$R$206+'Equipment Results Matrix'!$R$209)*(1+'Equipment Results Matrix'!$T$209)+$AD$6</f>
        <v>1317.0044651162789</v>
      </c>
      <c r="N28" s="3">
        <f>((K28*'Equipment Results Matrix'!$R$200)+'Equipment Results Matrix'!$R$201+'Equipment Results Matrix'!$T$207+'Equipment Results Matrix'!$R$204+'Equipment Results Matrix'!$R$207+'Equipment Results Matrix'!$R$209)*(1+'Equipment Results Matrix'!$T$209)+$AD$6</f>
        <v>1018.696465116279</v>
      </c>
      <c r="O28" s="3">
        <f>((K28*'Equipment Results Matrix'!$R$200)+'Equipment Results Matrix'!$R$201+'Equipment Results Matrix'!$T$207+'Equipment Results Matrix'!$R$204+'Equipment Results Matrix'!$R$205+'Equipment Results Matrix'!$R$208)*(1+'Equipment Results Matrix'!$T$209)+$AD$6</f>
        <v>2380.4684651162788</v>
      </c>
      <c r="P28" s="3">
        <f>((K28*'Equipment Results Matrix'!$R$200)+'Equipment Results Matrix'!$R$201+'Equipment Results Matrix'!$T$207+'Equipment Results Matrix'!$R$204+'Equipment Results Matrix'!$R$206+'Equipment Results Matrix'!$R$208)*(1+'Equipment Results Matrix'!$T$209)+$AD$6</f>
        <v>1454.356465116279</v>
      </c>
      <c r="Q28" s="3">
        <f>((K28*'Equipment Results Matrix'!$R$200)+'Equipment Results Matrix'!$R$201+'Equipment Results Matrix'!$T$207+'Equipment Results Matrix'!$R$204+'Equipment Results Matrix'!$R$207+'Equipment Results Matrix'!$R$208)*(1+'Equipment Results Matrix'!$T$209)+$AD$6</f>
        <v>1156.048465116279</v>
      </c>
      <c r="R28" s="328">
        <f t="shared" si="3"/>
        <v>1594.9484651162791</v>
      </c>
      <c r="S28" s="328">
        <f>R28*Inflation!$D$3</f>
        <v>1719.6631737019256</v>
      </c>
    </row>
    <row r="29" spans="1:19">
      <c r="J29" s="95"/>
      <c r="K29" s="95"/>
      <c r="L29" s="95"/>
      <c r="M29" s="95"/>
    </row>
    <row r="30" spans="1:19">
      <c r="A30" s="4" t="s">
        <v>634</v>
      </c>
      <c r="J30" s="95"/>
    </row>
    <row r="31" spans="1:19">
      <c r="C31" s="4"/>
      <c r="J31" s="95"/>
    </row>
    <row r="34" spans="1:9">
      <c r="A34" s="95"/>
      <c r="B34" s="95"/>
      <c r="C34" s="95"/>
      <c r="D34" s="95"/>
      <c r="E34" s="95"/>
      <c r="F34" s="95"/>
      <c r="G34" s="95"/>
      <c r="H34" s="95"/>
      <c r="I34" s="95"/>
    </row>
    <row r="37" spans="1:9" ht="15" customHeight="1"/>
    <row r="39" spans="1:9">
      <c r="A39" s="95"/>
      <c r="B39" s="95"/>
      <c r="C39" s="95"/>
    </row>
    <row r="40" spans="1:9">
      <c r="A40" s="95"/>
      <c r="B40" s="95"/>
      <c r="C40" s="95"/>
    </row>
    <row r="41" spans="1:9">
      <c r="A41" s="95"/>
      <c r="B41" s="95"/>
      <c r="C41" s="95"/>
    </row>
    <row r="42" spans="1:9">
      <c r="A42" s="95"/>
      <c r="B42" s="95"/>
      <c r="C42" s="95"/>
    </row>
  </sheetData>
  <mergeCells count="16">
    <mergeCell ref="P1:S1"/>
    <mergeCell ref="A20:I20"/>
    <mergeCell ref="A21:A22"/>
    <mergeCell ref="B21:I21"/>
    <mergeCell ref="K20:S20"/>
    <mergeCell ref="K21:K22"/>
    <mergeCell ref="L21:S21"/>
    <mergeCell ref="P3:P8"/>
    <mergeCell ref="P9:P14"/>
    <mergeCell ref="P15:P18"/>
    <mergeCell ref="H1:M1"/>
    <mergeCell ref="H2:H3"/>
    <mergeCell ref="I2:M2"/>
    <mergeCell ref="A1:F1"/>
    <mergeCell ref="A2:A3"/>
    <mergeCell ref="B2:F2"/>
  </mergeCells>
  <hyperlinks>
    <hyperlink ref="A16" location="'Master Summary'!A1" display="Return To Master Summary"/>
    <hyperlink ref="A30" location="'Master Summary'!A1" display="Return To Master Summary"/>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AF33"/>
  <sheetViews>
    <sheetView workbookViewId="0">
      <selection sqref="A1:F1"/>
    </sheetView>
  </sheetViews>
  <sheetFormatPr defaultColWidth="9.109375" defaultRowHeight="14.4"/>
  <cols>
    <col min="1" max="1" width="15.88671875" style="95" customWidth="1"/>
    <col min="2" max="2" width="22" style="95" customWidth="1"/>
    <col min="3" max="3" width="19.5546875" style="95" customWidth="1"/>
    <col min="4" max="4" width="20.5546875" style="95" customWidth="1"/>
    <col min="5" max="5" width="22.109375" style="95" customWidth="1"/>
    <col min="6" max="6" width="18.5546875" style="95" customWidth="1"/>
    <col min="7" max="7" width="19.6640625" style="95" customWidth="1"/>
    <col min="8" max="8" width="18.33203125" style="95" customWidth="1"/>
    <col min="9" max="15" width="17.6640625" style="95" customWidth="1"/>
    <col min="16" max="16" width="7" style="95" customWidth="1"/>
    <col min="17" max="17" width="0.88671875" style="95" customWidth="1"/>
    <col min="18" max="18" width="6.88671875" style="95" customWidth="1"/>
    <col min="19" max="19" width="16.109375" style="95" customWidth="1"/>
    <col min="20" max="21" width="19.88671875" style="95" customWidth="1"/>
    <col min="22" max="22" width="20.109375" style="95" customWidth="1"/>
    <col min="23" max="23" width="23.33203125" style="95" customWidth="1"/>
    <col min="24" max="24" width="24.44140625" style="95" customWidth="1"/>
    <col min="25" max="25" width="22" style="95" customWidth="1"/>
    <col min="26" max="26" width="24.33203125" style="95" customWidth="1"/>
    <col min="27" max="27" width="21" style="95" customWidth="1"/>
    <col min="28" max="28" width="21.88671875" style="95" customWidth="1"/>
    <col min="29" max="29" width="22" style="95" customWidth="1"/>
    <col min="30" max="30" width="21.44140625" style="95" customWidth="1"/>
    <col min="31" max="31" width="21.109375" style="95" customWidth="1"/>
    <col min="32" max="32" width="21.88671875" style="95" customWidth="1"/>
    <col min="33" max="33" width="23.109375" style="95" customWidth="1"/>
    <col min="34" max="34" width="15.44140625" style="95" customWidth="1"/>
    <col min="35" max="16384" width="9.109375" style="95"/>
  </cols>
  <sheetData>
    <row r="1" spans="1:31" ht="32.4">
      <c r="A1" s="2050" t="s">
        <v>464</v>
      </c>
      <c r="B1" s="2050"/>
      <c r="C1" s="2050"/>
      <c r="D1" s="2050"/>
      <c r="E1" s="2050"/>
      <c r="F1" s="2050"/>
      <c r="H1" s="2050" t="s">
        <v>462</v>
      </c>
      <c r="I1" s="2050"/>
      <c r="J1" s="2050"/>
      <c r="K1" s="2050"/>
      <c r="L1" s="2050"/>
      <c r="M1" s="2050"/>
      <c r="P1" s="120"/>
      <c r="Q1" s="124"/>
      <c r="S1" s="16" t="s">
        <v>54</v>
      </c>
      <c r="T1" s="108" t="s">
        <v>52</v>
      </c>
      <c r="U1" s="2034" t="s">
        <v>51</v>
      </c>
      <c r="V1" s="2034"/>
      <c r="W1" s="2034"/>
      <c r="X1" s="2034"/>
      <c r="Y1" s="2034"/>
      <c r="Z1" s="2035"/>
      <c r="AB1" s="2036" t="s">
        <v>228</v>
      </c>
      <c r="AC1" s="2036"/>
      <c r="AD1" s="2036"/>
      <c r="AE1" s="2036"/>
    </row>
    <row r="2" spans="1:31" ht="42" customHeight="1">
      <c r="A2" s="2036" t="s">
        <v>403</v>
      </c>
      <c r="B2" s="2049" t="s">
        <v>315</v>
      </c>
      <c r="C2" s="2049"/>
      <c r="D2" s="2049"/>
      <c r="E2" s="2049"/>
      <c r="F2" s="2049"/>
      <c r="H2" s="2036" t="s">
        <v>403</v>
      </c>
      <c r="I2" s="2049" t="s">
        <v>315</v>
      </c>
      <c r="J2" s="2049"/>
      <c r="K2" s="2049"/>
      <c r="L2" s="2049"/>
      <c r="M2" s="2049"/>
      <c r="P2" s="120"/>
      <c r="Q2" s="124"/>
      <c r="S2" s="2036" t="s">
        <v>50</v>
      </c>
      <c r="T2" s="2036" t="s">
        <v>53</v>
      </c>
      <c r="U2" s="2037" t="s">
        <v>420</v>
      </c>
      <c r="V2" s="2038"/>
      <c r="W2" s="2038"/>
      <c r="X2" s="2038"/>
      <c r="Y2" s="2038"/>
      <c r="Z2" s="2039"/>
      <c r="AB2" s="53" t="s">
        <v>165</v>
      </c>
      <c r="AC2" s="53" t="s">
        <v>165</v>
      </c>
      <c r="AD2" s="53" t="s">
        <v>164</v>
      </c>
      <c r="AE2" s="53" t="s">
        <v>167</v>
      </c>
    </row>
    <row r="3" spans="1:31" ht="59.25" customHeight="1">
      <c r="A3" s="2036"/>
      <c r="B3" s="150" t="s">
        <v>121</v>
      </c>
      <c r="C3" s="150" t="s">
        <v>122</v>
      </c>
      <c r="D3" s="150" t="s">
        <v>123</v>
      </c>
      <c r="E3" s="53" t="s">
        <v>404</v>
      </c>
      <c r="F3" s="53" t="s">
        <v>405</v>
      </c>
      <c r="H3" s="2036"/>
      <c r="I3" s="150" t="s">
        <v>124</v>
      </c>
      <c r="J3" s="150" t="s">
        <v>125</v>
      </c>
      <c r="K3" s="150" t="s">
        <v>126</v>
      </c>
      <c r="L3" s="53" t="s">
        <v>405</v>
      </c>
      <c r="M3" s="53" t="s">
        <v>405</v>
      </c>
      <c r="P3" s="120"/>
      <c r="Q3" s="124"/>
      <c r="S3" s="2036"/>
      <c r="T3" s="2036"/>
      <c r="U3" s="101" t="s">
        <v>121</v>
      </c>
      <c r="V3" s="101" t="s">
        <v>122</v>
      </c>
      <c r="W3" s="101" t="s">
        <v>123</v>
      </c>
      <c r="X3" s="101" t="s">
        <v>124</v>
      </c>
      <c r="Y3" s="101" t="s">
        <v>125</v>
      </c>
      <c r="Z3" s="101" t="s">
        <v>126</v>
      </c>
      <c r="AB3" s="2031" t="s">
        <v>166</v>
      </c>
      <c r="AC3" s="116">
        <v>2</v>
      </c>
      <c r="AD3" s="123">
        <f>(((0.3328*(AC3)+8.8483)*'Labor Results Matrix'!$G$83)*1.2)*'Labor Adjustment'!$B$4</f>
        <v>545.61294273126214</v>
      </c>
      <c r="AE3" s="123">
        <f>AD3*Inflation!$D$3</f>
        <v>588.27636455431491</v>
      </c>
    </row>
    <row r="4" spans="1:31" ht="57" customHeight="1">
      <c r="A4" s="151">
        <v>15</v>
      </c>
      <c r="B4" s="36">
        <f>((A4*'Equipment Results Matrix'!$R$189)+'Equipment Results Matrix'!$R$190+'Equipment Results Matrix'!$T$196+'Equipment Results Matrix'!$R$192+'Equipment Results Matrix'!$R$194)*(1+'Equipment Results Matrix'!$T$198)+$AD$9</f>
        <v>4285.6955023676219</v>
      </c>
      <c r="C4" s="36">
        <f>(($A4*'Equipment Results Matrix'!$R$189)+'Equipment Results Matrix'!$R$190+'Equipment Results Matrix'!$T$196+'Equipment Results Matrix'!$R$192+'Equipment Results Matrix'!$R$195)*(1+'Equipment Results Matrix'!$T$198)+$AD$9</f>
        <v>3754.6595023676214</v>
      </c>
      <c r="D4" s="36">
        <f>(($A4*'Equipment Results Matrix'!$R$189)+'Equipment Results Matrix'!$R$190+'Equipment Results Matrix'!$T$196+'Equipment Results Matrix'!$R$192+'Equipment Results Matrix'!$R$196)*(1+'Equipment Results Matrix'!$T$198)+$AD$9</f>
        <v>3172.3955023676217</v>
      </c>
      <c r="E4" s="117">
        <f>AVERAGE(B4:D4)</f>
        <v>3737.5835023676213</v>
      </c>
      <c r="F4" s="117">
        <f>AVERAGE(B4:D4)*Inflation!$D$3</f>
        <v>4029.8384858402787</v>
      </c>
      <c r="H4" s="151">
        <v>15</v>
      </c>
      <c r="I4" s="36">
        <f>(($A4*'Equipment Results Matrix'!$R$189)+'Equipment Results Matrix'!$R$190+'Equipment Results Matrix'!$T$196+'Equipment Results Matrix'!$R$193+'Equipment Results Matrix'!$R$194)*(1+'Equipment Results Matrix'!$T$198)+$AD$9</f>
        <v>3338.0075023676213</v>
      </c>
      <c r="J4" s="36">
        <f>(($A4*'Equipment Results Matrix'!$R$189)+'Equipment Results Matrix'!$R$190+'Equipment Results Matrix'!$T$196+'Equipment Results Matrix'!$R$193+'Equipment Results Matrix'!$R$195)*(1+'Equipment Results Matrix'!$T$198)+$AD$9</f>
        <v>2806.9715023676213</v>
      </c>
      <c r="K4" s="36">
        <f>(($A4*'Equipment Results Matrix'!$R$189)+'Equipment Results Matrix'!$R$190+'Equipment Results Matrix'!$T$196+'Equipment Results Matrix'!$R$193+'Equipment Results Matrix'!$R$196)*(1+'Equipment Results Matrix'!$T$198)+$AD$9</f>
        <v>2224.7075023676216</v>
      </c>
      <c r="L4" s="117">
        <f>AVERAGE(I4:K4)</f>
        <v>2789.8955023676212</v>
      </c>
      <c r="M4" s="117">
        <f>AVERAGE(I4:K4)*Inflation!$D$3</f>
        <v>3008.0473813606632</v>
      </c>
      <c r="P4" s="120"/>
      <c r="Q4" s="124"/>
      <c r="S4" s="102">
        <v>15</v>
      </c>
      <c r="T4" s="14">
        <v>3193</v>
      </c>
      <c r="U4" s="36">
        <f>(($S4*'Equipment Results Matrix'!$R$189)+'Equipment Results Matrix'!$R$190+'Equipment Results Matrix'!$T$196+'Equipment Results Matrix'!$R$192+'Equipment Results Matrix'!$R$194)*(1+'Equipment Results Matrix'!$T$198)+$AD$9</f>
        <v>4285.6955023676219</v>
      </c>
      <c r="V4" s="36">
        <f>(($S4*'Equipment Results Matrix'!$R$189)+'Equipment Results Matrix'!$R$190+'Equipment Results Matrix'!$T$196+'Equipment Results Matrix'!$R$192+'Equipment Results Matrix'!$R$195)*(1+'Equipment Results Matrix'!$T$198)+$AD$9</f>
        <v>3754.6595023676214</v>
      </c>
      <c r="W4" s="36">
        <f>(($S4*'Equipment Results Matrix'!$R$189)+'Equipment Results Matrix'!$R$190+'Equipment Results Matrix'!$T$196+'Equipment Results Matrix'!$R$192+'Equipment Results Matrix'!$R$196)*(1+'Equipment Results Matrix'!$T$198)+$AD$9</f>
        <v>3172.3955023676217</v>
      </c>
      <c r="X4" s="36">
        <f>(($S4*'Equipment Results Matrix'!$R$189)+'Equipment Results Matrix'!$R$190+'Equipment Results Matrix'!$T$196+'Equipment Results Matrix'!$R$193+'Equipment Results Matrix'!$R$194)*(1+'Equipment Results Matrix'!$T$198)+$AD$9</f>
        <v>3338.0075023676213</v>
      </c>
      <c r="Y4" s="36">
        <f>(($S4*'Equipment Results Matrix'!$R$189)+'Equipment Results Matrix'!$R$190+'Equipment Results Matrix'!$T$196+'Equipment Results Matrix'!$R$193+'Equipment Results Matrix'!$R$195)*(1+'Equipment Results Matrix'!$T$198)+$AD$9</f>
        <v>2806.9715023676213</v>
      </c>
      <c r="Z4" s="36">
        <f>(($S4*'Equipment Results Matrix'!$R$189)+'Equipment Results Matrix'!$R$190+'Equipment Results Matrix'!$T$196+'Equipment Results Matrix'!$R$193+'Equipment Results Matrix'!$R$196)*(1+'Equipment Results Matrix'!$T$198)+$AD$9</f>
        <v>2224.7075023676216</v>
      </c>
      <c r="AB4" s="2031"/>
      <c r="AC4" s="114">
        <v>3</v>
      </c>
      <c r="AD4" s="123">
        <f>((0.3328*(AC4)+8.8483)*'Labor Results Matrix'!$G$83)*1.2*'Labor Adjustment'!$B$4</f>
        <v>564.69870013263949</v>
      </c>
      <c r="AE4" s="123">
        <f>AD4*Inflation!$D$3</f>
        <v>608.85450539284341</v>
      </c>
    </row>
    <row r="5" spans="1:31" ht="16.5" customHeight="1">
      <c r="A5" s="151">
        <v>20</v>
      </c>
      <c r="B5" s="36">
        <f>((A5*'Equipment Results Matrix'!$R$189)+'Equipment Results Matrix'!$R$190+'Equipment Results Matrix'!$T$196+'Equipment Results Matrix'!$R$192+'Equipment Results Matrix'!$R$194)*(1+'Equipment Results Matrix'!$T$198)+$AD$10</f>
        <v>4658.252227054656</v>
      </c>
      <c r="C5" s="36">
        <f>(($A5*'Equipment Results Matrix'!$R$189)+'Equipment Results Matrix'!$R$190+'Equipment Results Matrix'!$T$196+'Equipment Results Matrix'!$R$192+'Equipment Results Matrix'!$R$195)*(1+'Equipment Results Matrix'!$T$198)+$AD$10</f>
        <v>4127.216227054656</v>
      </c>
      <c r="D5" s="36">
        <f>(($A5*'Equipment Results Matrix'!$R$189)+'Equipment Results Matrix'!$R$190+'Equipment Results Matrix'!$T$196+'Equipment Results Matrix'!$R$192+'Equipment Results Matrix'!$R$196)*(1+'Equipment Results Matrix'!$T$198)+$AD$10</f>
        <v>3544.9522270546559</v>
      </c>
      <c r="E5" s="117">
        <f t="shared" ref="E5:E13" si="0">AVERAGE(B5:D5)</f>
        <v>4110.140227054656</v>
      </c>
      <c r="F5" s="117">
        <f>AVERAGE(B5:D5)*Inflation!$D$3</f>
        <v>4431.5267494874633</v>
      </c>
      <c r="H5" s="151">
        <v>20</v>
      </c>
      <c r="I5" s="36">
        <f>(($A5*'Equipment Results Matrix'!$R$189)+'Equipment Results Matrix'!$R$190+'Equipment Results Matrix'!$T$196+'Equipment Results Matrix'!$R$193+'Equipment Results Matrix'!$R$194)*(1+'Equipment Results Matrix'!$T$198)+$AD$10</f>
        <v>3710.5642270546555</v>
      </c>
      <c r="J5" s="36">
        <f>(($A5*'Equipment Results Matrix'!$R$189)+'Equipment Results Matrix'!$R$190+'Equipment Results Matrix'!$T$196+'Equipment Results Matrix'!$R$193+'Equipment Results Matrix'!$R$195)*(1+'Equipment Results Matrix'!$T$198)+$AD$10</f>
        <v>3179.5282270546559</v>
      </c>
      <c r="K5" s="36">
        <f>(($A5*'Equipment Results Matrix'!$R$189)+'Equipment Results Matrix'!$R$190+'Equipment Results Matrix'!$T$196+'Equipment Results Matrix'!$R$193+'Equipment Results Matrix'!$R$196)*(1+'Equipment Results Matrix'!$T$198)+$AD$10</f>
        <v>2597.2642270546557</v>
      </c>
      <c r="L5" s="117">
        <f t="shared" ref="L5:L13" si="1">AVERAGE(I5:K5)</f>
        <v>3162.4522270546563</v>
      </c>
      <c r="M5" s="117">
        <f>AVERAGE(I5:K5)*Inflation!$D$3</f>
        <v>3409.7356450078482</v>
      </c>
      <c r="P5" s="120"/>
      <c r="Q5" s="124"/>
      <c r="S5" s="102">
        <v>25</v>
      </c>
      <c r="T5" s="14">
        <v>4260</v>
      </c>
      <c r="U5" s="36">
        <f>(($S5*'Equipment Results Matrix'!$R$189)+'Equipment Results Matrix'!$R$190+'Equipment Results Matrix'!$T$196+'Equipment Results Matrix'!$R$192+'Equipment Results Matrix'!$R$194)*(1+'Equipment Results Matrix'!$T$198)+$AD$11</f>
        <v>5030.8089517416902</v>
      </c>
      <c r="V5" s="36">
        <f>(($S5*'Equipment Results Matrix'!$R$189)+'Equipment Results Matrix'!$R$190+'Equipment Results Matrix'!$T$196+'Equipment Results Matrix'!$R$192+'Equipment Results Matrix'!$R$195)*(1+'Equipment Results Matrix'!$T$198)+$AD$11</f>
        <v>4499.7729517416901</v>
      </c>
      <c r="W5" s="36">
        <f>(($S5*'Equipment Results Matrix'!$R$189)+'Equipment Results Matrix'!$R$190+'Equipment Results Matrix'!$T$196+'Equipment Results Matrix'!$R$192+'Equipment Results Matrix'!$R$196)*(1+'Equipment Results Matrix'!$T$198)+$AD$11</f>
        <v>3917.50895174169</v>
      </c>
      <c r="X5" s="36">
        <f>(($S5*'Equipment Results Matrix'!$R$189)+'Equipment Results Matrix'!$R$190+'Equipment Results Matrix'!$T$196+'Equipment Results Matrix'!$R$193+'Equipment Results Matrix'!$R$194)*(1+'Equipment Results Matrix'!$T$198)+$AD$11</f>
        <v>4083.1209517416901</v>
      </c>
      <c r="Y5" s="36">
        <f>(($S5*'Equipment Results Matrix'!$R$189)+'Equipment Results Matrix'!$R$190+'Equipment Results Matrix'!$T$196+'Equipment Results Matrix'!$R$193+'Equipment Results Matrix'!$R$195)*(1+'Equipment Results Matrix'!$T$198)+$AD$11</f>
        <v>3552.08495174169</v>
      </c>
      <c r="Z5" s="36">
        <f>(($S5*'Equipment Results Matrix'!$R$189)+'Equipment Results Matrix'!$R$190+'Equipment Results Matrix'!$T$196+'Equipment Results Matrix'!$R$193+'Equipment Results Matrix'!$R$196)*(1+'Equipment Results Matrix'!$T$198)+$AD$11</f>
        <v>2969.8209517416899</v>
      </c>
      <c r="AB5" s="2031"/>
      <c r="AC5" s="114">
        <v>4</v>
      </c>
      <c r="AD5" s="123">
        <f>((0.3328*(AC5)+8.8483)*'Labor Results Matrix'!$G$83)*1.2*'Labor Adjustment'!$B$4</f>
        <v>583.78445753401695</v>
      </c>
      <c r="AE5" s="123">
        <f>AD5*Inflation!$D$3</f>
        <v>629.43264623137202</v>
      </c>
    </row>
    <row r="6" spans="1:31" ht="16.5" customHeight="1">
      <c r="A6" s="151">
        <v>25</v>
      </c>
      <c r="B6" s="36">
        <f>((A6*'Equipment Results Matrix'!$R$189)+'Equipment Results Matrix'!$R$190+'Equipment Results Matrix'!$T$196+'Equipment Results Matrix'!$R$192+'Equipment Results Matrix'!$R$194)*(1+'Equipment Results Matrix'!$T$198)+$AD$11</f>
        <v>5030.8089517416902</v>
      </c>
      <c r="C6" s="36">
        <f>(($A6*'Equipment Results Matrix'!$R$189)+'Equipment Results Matrix'!$R$190+'Equipment Results Matrix'!$T$196+'Equipment Results Matrix'!$R$192+'Equipment Results Matrix'!$R$195)*(1+'Equipment Results Matrix'!$T$198)+$AD$11</f>
        <v>4499.7729517416901</v>
      </c>
      <c r="D6" s="36">
        <f>(($A6*'Equipment Results Matrix'!$R$189)+'Equipment Results Matrix'!$R$190+'Equipment Results Matrix'!$T$196+'Equipment Results Matrix'!$R$192+'Equipment Results Matrix'!$R$196)*(1+'Equipment Results Matrix'!$T$198)+$AD$11</f>
        <v>3917.50895174169</v>
      </c>
      <c r="E6" s="117">
        <f t="shared" si="0"/>
        <v>4482.6969517416901</v>
      </c>
      <c r="F6" s="117">
        <f>AVERAGE(B6:D6)*Inflation!$D$3</f>
        <v>4833.215013134648</v>
      </c>
      <c r="H6" s="151">
        <v>25</v>
      </c>
      <c r="I6" s="36">
        <f>(($A6*'Equipment Results Matrix'!$R$189)+'Equipment Results Matrix'!$R$190+'Equipment Results Matrix'!$T$196+'Equipment Results Matrix'!$R$193+'Equipment Results Matrix'!$R$194)*(1+'Equipment Results Matrix'!$T$198)+$AD$11</f>
        <v>4083.1209517416901</v>
      </c>
      <c r="J6" s="36">
        <f>(($A6*'Equipment Results Matrix'!$R$189)+'Equipment Results Matrix'!$R$190+'Equipment Results Matrix'!$T$196+'Equipment Results Matrix'!$R$193+'Equipment Results Matrix'!$R$195)*(1+'Equipment Results Matrix'!$T$198)+$AD$11</f>
        <v>3552.08495174169</v>
      </c>
      <c r="K6" s="36">
        <f>(($A6*'Equipment Results Matrix'!$R$189)+'Equipment Results Matrix'!$R$190+'Equipment Results Matrix'!$T$196+'Equipment Results Matrix'!$R$193+'Equipment Results Matrix'!$R$196)*(1+'Equipment Results Matrix'!$T$198)+$AD$11</f>
        <v>2969.8209517416899</v>
      </c>
      <c r="L6" s="117">
        <f t="shared" si="1"/>
        <v>3535.0089517416905</v>
      </c>
      <c r="M6" s="117">
        <f>AVERAGE(I6:K6)*Inflation!$D$3</f>
        <v>3811.4239086550324</v>
      </c>
      <c r="P6" s="120"/>
      <c r="Q6" s="124"/>
      <c r="S6" s="102">
        <v>50</v>
      </c>
      <c r="T6" s="14">
        <v>6448</v>
      </c>
      <c r="U6" s="36">
        <f>(($S6*'Equipment Results Matrix'!$R$189)+'Equipment Results Matrix'!$R$190+'Equipment Results Matrix'!$T$196+'Equipment Results Matrix'!$R$192+'Equipment Results Matrix'!$R$194)*(1+'Equipment Results Matrix'!$T$198)+$AD$12</f>
        <v>6503.0456764287237</v>
      </c>
      <c r="V6" s="36">
        <f>(($S6*'Equipment Results Matrix'!$R$189)+'Equipment Results Matrix'!$R$190+'Equipment Results Matrix'!$T$196+'Equipment Results Matrix'!$R$192+'Equipment Results Matrix'!$R$195)*(1+'Equipment Results Matrix'!$T$198)+$AD$12</f>
        <v>5972.0096764287237</v>
      </c>
      <c r="W6" s="36">
        <f>(($S6*'Equipment Results Matrix'!$R$189)+'Equipment Results Matrix'!$R$190+'Equipment Results Matrix'!$T$196+'Equipment Results Matrix'!$R$192+'Equipment Results Matrix'!$R$196)*(1+'Equipment Results Matrix'!$T$198)+$AD$12</f>
        <v>5389.7456764287235</v>
      </c>
      <c r="X6" s="36">
        <f>(($S6*'Equipment Results Matrix'!$R$189)+'Equipment Results Matrix'!$R$190+'Equipment Results Matrix'!$T$196+'Equipment Results Matrix'!$R$193+'Equipment Results Matrix'!$R$194)*(1+'Equipment Results Matrix'!$T$198)+$AD$12</f>
        <v>5555.3576764287236</v>
      </c>
      <c r="Y6" s="36">
        <f>(($S6*'Equipment Results Matrix'!$R$189)+'Equipment Results Matrix'!$R$190+'Equipment Results Matrix'!$T$196+'Equipment Results Matrix'!$R$193+'Equipment Results Matrix'!$R$195)*(1+'Equipment Results Matrix'!$T$198)+$AD$12</f>
        <v>5024.3216764287245</v>
      </c>
      <c r="Z6" s="36">
        <f>(($S6*'Equipment Results Matrix'!$R$189)+'Equipment Results Matrix'!$R$190+'Equipment Results Matrix'!$T$196+'Equipment Results Matrix'!$R$193+'Equipment Results Matrix'!$R$196)*(1+'Equipment Results Matrix'!$T$198)+$AD$12</f>
        <v>4442.0576764287234</v>
      </c>
      <c r="AB6" s="2031"/>
      <c r="AC6" s="114">
        <v>5</v>
      </c>
      <c r="AD6" s="123">
        <f>((0.3328*(AC6)+8.8483)*'Labor Results Matrix'!$G$83)*1.2*'Labor Adjustment'!$B$4</f>
        <v>602.87021493539419</v>
      </c>
      <c r="AE6" s="123">
        <f>AD6*Inflation!$D$3</f>
        <v>650.0107870699004</v>
      </c>
    </row>
    <row r="7" spans="1:31" ht="16.5" customHeight="1">
      <c r="A7" s="151">
        <v>30</v>
      </c>
      <c r="B7" s="36">
        <f>((A7*'Equipment Results Matrix'!$R$189)+'Equipment Results Matrix'!$R$190+'Equipment Results Matrix'!$T$196+'Equipment Results Matrix'!$R$192+'Equipment Results Matrix'!$R$194)*(1+'Equipment Results Matrix'!$T$198)+$AD$12</f>
        <v>5403.3656764287234</v>
      </c>
      <c r="C7" s="36">
        <f>(($A7*'Equipment Results Matrix'!$R$189)+'Equipment Results Matrix'!$R$190+'Equipment Results Matrix'!$T$196+'Equipment Results Matrix'!$R$192+'Equipment Results Matrix'!$R$195)*(1+'Equipment Results Matrix'!$T$198)+$AD$12</f>
        <v>4872.3296764287234</v>
      </c>
      <c r="D7" s="36">
        <f>(($A7*'Equipment Results Matrix'!$R$189)+'Equipment Results Matrix'!$R$190+'Equipment Results Matrix'!$T$196+'Equipment Results Matrix'!$R$192+'Equipment Results Matrix'!$R$196)*(1+'Equipment Results Matrix'!$T$198)+$AD$12</f>
        <v>4290.0656764287232</v>
      </c>
      <c r="E7" s="117">
        <f t="shared" si="0"/>
        <v>4855.2536764287233</v>
      </c>
      <c r="F7" s="117">
        <f>AVERAGE(B7:D7)*Inflation!$D$3</f>
        <v>5234.9032767818308</v>
      </c>
      <c r="H7" s="151">
        <v>30</v>
      </c>
      <c r="I7" s="36">
        <f>(($A7*'Equipment Results Matrix'!$R$189)+'Equipment Results Matrix'!$R$190+'Equipment Results Matrix'!$T$196+'Equipment Results Matrix'!$R$193+'Equipment Results Matrix'!$R$194)*(1+'Equipment Results Matrix'!$T$198)+$AD$12</f>
        <v>4455.6776764287233</v>
      </c>
      <c r="J7" s="36">
        <f>(($A7*'Equipment Results Matrix'!$R$189)+'Equipment Results Matrix'!$R$190+'Equipment Results Matrix'!$T$196+'Equipment Results Matrix'!$R$193+'Equipment Results Matrix'!$R$195)*(1+'Equipment Results Matrix'!$T$198)+$AD$12</f>
        <v>3924.6416764287233</v>
      </c>
      <c r="K7" s="36">
        <f>(($A7*'Equipment Results Matrix'!$R$189)+'Equipment Results Matrix'!$R$190+'Equipment Results Matrix'!$T$196+'Equipment Results Matrix'!$R$193+'Equipment Results Matrix'!$R$196)*(1+'Equipment Results Matrix'!$T$198)+$AD$12</f>
        <v>3342.3776764287231</v>
      </c>
      <c r="L7" s="117">
        <f t="shared" si="1"/>
        <v>3907.5656764287232</v>
      </c>
      <c r="M7" s="117">
        <f>AVERAGE(I7:K7)*Inflation!$D$3</f>
        <v>4213.1121723022152</v>
      </c>
      <c r="P7" s="120"/>
      <c r="Q7" s="124"/>
      <c r="S7" s="102">
        <v>75</v>
      </c>
      <c r="T7" s="14">
        <v>8407</v>
      </c>
      <c r="U7" s="36">
        <f>(($S7*'Equipment Results Matrix'!$R$189)+'Equipment Results Matrix'!$R$190+'Equipment Results Matrix'!$T$196+'Equipment Results Matrix'!$R$192+'Equipment Results Matrix'!$R$194)*(1+'Equipment Results Matrix'!$T$198)+$AD$16</f>
        <v>8934.9112827207045</v>
      </c>
      <c r="V7" s="36">
        <f>(($S7*'Equipment Results Matrix'!$R$189)+'Equipment Results Matrix'!$R$190+'Equipment Results Matrix'!$T$196+'Equipment Results Matrix'!$R$192+'Equipment Results Matrix'!$R$195)*(1+'Equipment Results Matrix'!$T$198)+$AD$16</f>
        <v>8403.8752827207045</v>
      </c>
      <c r="W7" s="36">
        <f>(($S7*'Equipment Results Matrix'!$R$189)+'Equipment Results Matrix'!$R$190+'Equipment Results Matrix'!$T$196+'Equipment Results Matrix'!$R$192+'Equipment Results Matrix'!$R$196)*(1+'Equipment Results Matrix'!$T$198)+$AD$16</f>
        <v>7821.6112827207053</v>
      </c>
      <c r="X7" s="36">
        <f>(($S7*'Equipment Results Matrix'!$R$189)+'Equipment Results Matrix'!$R$190+'Equipment Results Matrix'!$T$196+'Equipment Results Matrix'!$R$193+'Equipment Results Matrix'!$R$194)*(1+'Equipment Results Matrix'!$T$198)+$AD$16</f>
        <v>7987.2232827207044</v>
      </c>
      <c r="Y7" s="36">
        <f>(($S7*'Equipment Results Matrix'!$R$189)+'Equipment Results Matrix'!$R$190+'Equipment Results Matrix'!$T$196+'Equipment Results Matrix'!$R$193+'Equipment Results Matrix'!$R$195)*(1+'Equipment Results Matrix'!$T$198)+$AD$16</f>
        <v>7456.1872827207044</v>
      </c>
      <c r="Z7" s="36">
        <f>(($S7*'Equipment Results Matrix'!$R$189)+'Equipment Results Matrix'!$R$190+'Equipment Results Matrix'!$T$196+'Equipment Results Matrix'!$R$193+'Equipment Results Matrix'!$R$196)*(1+'Equipment Results Matrix'!$T$198)+$AD$16</f>
        <v>6873.9232827207052</v>
      </c>
      <c r="AB7" s="2031"/>
      <c r="AC7" s="121">
        <v>7.5</v>
      </c>
      <c r="AD7" s="123">
        <f>((0.3328*(AC7)+8.8483)*'Labor Results Matrix'!$G$83)*1.2*'Labor Adjustment'!$B$4</f>
        <v>650.58460843883756</v>
      </c>
      <c r="AE7" s="123">
        <f>AD7*Inflation!$D$3</f>
        <v>701.45613916622153</v>
      </c>
    </row>
    <row r="8" spans="1:31" ht="16.5" customHeight="1">
      <c r="A8" s="15">
        <v>40</v>
      </c>
      <c r="B8" s="36">
        <f>((A8*'Equipment Results Matrix'!$R$189)+'Equipment Results Matrix'!$R$190+'Equipment Results Matrix'!$T$196+'Equipment Results Matrix'!$R$192+'Equipment Results Matrix'!$R$194)*(1+'Equipment Results Matrix'!$T$198)+$AD$13</f>
        <v>6148.4791258027908</v>
      </c>
      <c r="C8" s="36">
        <f>(($A8*'Equipment Results Matrix'!$R$189)+'Equipment Results Matrix'!$R$190+'Equipment Results Matrix'!$T$196+'Equipment Results Matrix'!$R$192+'Equipment Results Matrix'!$R$195)*(1+'Equipment Results Matrix'!$T$198)+$AD$13</f>
        <v>5617.4431258027917</v>
      </c>
      <c r="D8" s="36">
        <f>(($A8*'Equipment Results Matrix'!$R$189)+'Equipment Results Matrix'!$R$190+'Equipment Results Matrix'!$T$196+'Equipment Results Matrix'!$R$192+'Equipment Results Matrix'!$R$196)*(1+'Equipment Results Matrix'!$T$198)+$AD$13</f>
        <v>5035.1791258027915</v>
      </c>
      <c r="E8" s="117">
        <f t="shared" si="0"/>
        <v>5600.3671258027907</v>
      </c>
      <c r="F8" s="117">
        <f>AVERAGE(B8:D8)*Inflation!$D$3</f>
        <v>6038.2798040761982</v>
      </c>
      <c r="H8" s="15">
        <v>40</v>
      </c>
      <c r="I8" s="36">
        <f>(($A8*'Equipment Results Matrix'!$R$189)+'Equipment Results Matrix'!$R$190+'Equipment Results Matrix'!$T$196+'Equipment Results Matrix'!$R$193+'Equipment Results Matrix'!$R$194)*(1+'Equipment Results Matrix'!$T$198)+$AD$13</f>
        <v>5200.7911258027907</v>
      </c>
      <c r="J8" s="36">
        <f>(($A8*'Equipment Results Matrix'!$R$189)+'Equipment Results Matrix'!$R$190+'Equipment Results Matrix'!$T$196+'Equipment Results Matrix'!$R$193+'Equipment Results Matrix'!$R$195)*(1+'Equipment Results Matrix'!$T$198)+$AD$13</f>
        <v>4669.7551258027916</v>
      </c>
      <c r="K8" s="36">
        <f>(($A8*'Equipment Results Matrix'!$R$189)+'Equipment Results Matrix'!$R$190+'Equipment Results Matrix'!$T$196+'Equipment Results Matrix'!$R$193+'Equipment Results Matrix'!$R$196)*(1+'Equipment Results Matrix'!$T$198)+$AD$13</f>
        <v>4087.4911258027914</v>
      </c>
      <c r="L8" s="117">
        <f t="shared" si="1"/>
        <v>4652.6791258027906</v>
      </c>
      <c r="M8" s="117">
        <f>AVERAGE(I8:K8)*Inflation!$D$3</f>
        <v>5016.4886995965826</v>
      </c>
      <c r="P8" s="120"/>
      <c r="Q8" s="124"/>
      <c r="S8" s="15">
        <v>100</v>
      </c>
      <c r="T8" s="14">
        <v>10493</v>
      </c>
      <c r="U8" s="36">
        <f>(($S8*'Equipment Results Matrix'!$R$189)+'Equipment Results Matrix'!$R$190+'Equipment Results Matrix'!$T$196+'Equipment Results Matrix'!$R$192+'Equipment Results Matrix'!$R$194)*(1+'Equipment Results Matrix'!$T$198)+$AD$17</f>
        <v>10437.422276133293</v>
      </c>
      <c r="V8" s="36">
        <f>(($S8*'Equipment Results Matrix'!$R$189)+'Equipment Results Matrix'!$R$190+'Equipment Results Matrix'!$T$196+'Equipment Results Matrix'!$R$192+'Equipment Results Matrix'!$R$195)*(1+'Equipment Results Matrix'!$T$198)+$AD$17</f>
        <v>9906.386276133293</v>
      </c>
      <c r="W8" s="36">
        <f>(($S8*'Equipment Results Matrix'!$R$189)+'Equipment Results Matrix'!$R$190+'Equipment Results Matrix'!$T$196+'Equipment Results Matrix'!$R$192+'Equipment Results Matrix'!$R$196)*(1+'Equipment Results Matrix'!$T$198)+$AD$17</f>
        <v>9324.122276133292</v>
      </c>
      <c r="X8" s="36">
        <f>(($S8*'Equipment Results Matrix'!$R$189)+'Equipment Results Matrix'!$R$190+'Equipment Results Matrix'!$T$196+'Equipment Results Matrix'!$R$193+'Equipment Results Matrix'!$R$194)*(1+'Equipment Results Matrix'!$T$198)+$AD$17</f>
        <v>9489.734276133293</v>
      </c>
      <c r="Y8" s="36">
        <f>(($S8*'Equipment Results Matrix'!$R$189)+'Equipment Results Matrix'!$R$190+'Equipment Results Matrix'!$T$196+'Equipment Results Matrix'!$R$193+'Equipment Results Matrix'!$R$195)*(1+'Equipment Results Matrix'!$T$198)+$AD$17</f>
        <v>8958.6982761332929</v>
      </c>
      <c r="Z8" s="36">
        <f>(($S8*'Equipment Results Matrix'!$R$189)+'Equipment Results Matrix'!$R$190+'Equipment Results Matrix'!$T$196+'Equipment Results Matrix'!$R$193+'Equipment Results Matrix'!$R$196)*(1+'Equipment Results Matrix'!$T$198)+$AD$17</f>
        <v>8376.4342761332919</v>
      </c>
      <c r="AB8" s="2031"/>
      <c r="AC8" s="121">
        <v>10</v>
      </c>
      <c r="AD8" s="123">
        <f>((0.3328*(AC8)+8.8483)*'Labor Results Matrix'!$G$83)*1.2*'Labor Adjustment'!$B$4</f>
        <v>698.29900194228105</v>
      </c>
      <c r="AE8" s="123">
        <f>AD8*Inflation!$D$3</f>
        <v>752.90149126254278</v>
      </c>
    </row>
    <row r="9" spans="1:31" ht="16.5" customHeight="1">
      <c r="A9" s="15">
        <v>50</v>
      </c>
      <c r="B9" s="36">
        <f>((A9*'Equipment Results Matrix'!$R$189)+'Equipment Results Matrix'!$R$190+'Equipment Results Matrix'!$T$196+'Equipment Results Matrix'!$R$192+'Equipment Results Matrix'!$R$194)*(1+'Equipment Results Matrix'!$T$198)+$AD$14</f>
        <v>6893.59257517686</v>
      </c>
      <c r="C9" s="36">
        <f>(($A9*'Equipment Results Matrix'!$R$189)+'Equipment Results Matrix'!$R$190+'Equipment Results Matrix'!$T$196+'Equipment Results Matrix'!$R$192+'Equipment Results Matrix'!$R$195)*(1+'Equipment Results Matrix'!$T$198)+$AD$14</f>
        <v>6362.55657517686</v>
      </c>
      <c r="D9" s="36">
        <f>(($A9*'Equipment Results Matrix'!$R$189)+'Equipment Results Matrix'!$R$190+'Equipment Results Matrix'!$T$196+'Equipment Results Matrix'!$R$192+'Equipment Results Matrix'!$R$196)*(1+'Equipment Results Matrix'!$T$198)+$AD$14</f>
        <v>5780.2925751768598</v>
      </c>
      <c r="E9" s="117">
        <f t="shared" si="0"/>
        <v>6345.4805751768608</v>
      </c>
      <c r="F9" s="117">
        <f>AVERAGE(B9:D9)*Inflation!$D$3</f>
        <v>6841.6563313705692</v>
      </c>
      <c r="H9" s="15">
        <v>50</v>
      </c>
      <c r="I9" s="36">
        <f>(($A9*'Equipment Results Matrix'!$R$189)+'Equipment Results Matrix'!$R$190+'Equipment Results Matrix'!$T$196+'Equipment Results Matrix'!$R$193+'Equipment Results Matrix'!$R$194)*(1+'Equipment Results Matrix'!$T$198)+$AD$14</f>
        <v>5945.9045751768599</v>
      </c>
      <c r="J9" s="36">
        <f>(($A9*'Equipment Results Matrix'!$R$189)+'Equipment Results Matrix'!$R$190+'Equipment Results Matrix'!$T$196+'Equipment Results Matrix'!$R$193+'Equipment Results Matrix'!$R$195)*(1+'Equipment Results Matrix'!$T$198)+$AD$14</f>
        <v>5414.8685751768608</v>
      </c>
      <c r="K9" s="36">
        <f>(($A9*'Equipment Results Matrix'!$R$189)+'Equipment Results Matrix'!$R$190+'Equipment Results Matrix'!$T$196+'Equipment Results Matrix'!$R$193+'Equipment Results Matrix'!$R$196)*(1+'Equipment Results Matrix'!$T$198)+$AD$14</f>
        <v>4832.6045751768597</v>
      </c>
      <c r="L9" s="117">
        <f t="shared" si="1"/>
        <v>5397.7925751768607</v>
      </c>
      <c r="M9" s="117">
        <f>AVERAGE(I9:K9)*Inflation!$D$3</f>
        <v>5819.8652268909527</v>
      </c>
      <c r="P9" s="120"/>
      <c r="Q9" s="124"/>
      <c r="S9" s="15">
        <v>200</v>
      </c>
      <c r="T9" s="14">
        <v>17266</v>
      </c>
      <c r="U9" s="36">
        <f>(($S9*'Equipment Results Matrix'!$R$189)+'Equipment Results Matrix'!$R$190+'Equipment Results Matrix'!$T$196+'Equipment Results Matrix'!$R$192+'Equipment Results Matrix'!$R$194)*(1+'Equipment Results Matrix'!$T$198)+$AD$18</f>
        <v>16447.46624978364</v>
      </c>
      <c r="V9" s="36">
        <f>(($S9*'Equipment Results Matrix'!$R$189)+'Equipment Results Matrix'!$R$190+'Equipment Results Matrix'!$T$196+'Equipment Results Matrix'!$R$192+'Equipment Results Matrix'!$R$195)*(1+'Equipment Results Matrix'!$T$198)+$AD$18</f>
        <v>15916.430249783642</v>
      </c>
      <c r="W9" s="36">
        <f>(($S9*'Equipment Results Matrix'!$R$189)+'Equipment Results Matrix'!$R$190+'Equipment Results Matrix'!$T$196+'Equipment Results Matrix'!$R$192+'Equipment Results Matrix'!$R$196)*(1+'Equipment Results Matrix'!$T$198)+$AD$18</f>
        <v>15334.166249783642</v>
      </c>
      <c r="X9" s="36">
        <f>(($S9*'Equipment Results Matrix'!$R$189)+'Equipment Results Matrix'!$R$190+'Equipment Results Matrix'!$T$196+'Equipment Results Matrix'!$R$193+'Equipment Results Matrix'!$R$194)*(1+'Equipment Results Matrix'!$T$198)+$AD$18</f>
        <v>15499.778249783642</v>
      </c>
      <c r="Y9" s="36">
        <f>(($S9*'Equipment Results Matrix'!$R$189)+'Equipment Results Matrix'!$R$190+'Equipment Results Matrix'!$T$196+'Equipment Results Matrix'!$R$193+'Equipment Results Matrix'!$R$195)*(1+'Equipment Results Matrix'!$T$198)+$AD$18</f>
        <v>14968.742249783641</v>
      </c>
      <c r="Z9" s="36">
        <f>(($S9*'Equipment Results Matrix'!$R$189)+'Equipment Results Matrix'!$R$190+'Equipment Results Matrix'!$T$196+'Equipment Results Matrix'!$R$193+'Equipment Results Matrix'!$R$196)*(1+'Equipment Results Matrix'!$T$198)+$AD$18</f>
        <v>14386.478249783642</v>
      </c>
      <c r="AB9" s="2031" t="s">
        <v>369</v>
      </c>
      <c r="AC9" s="116">
        <v>15</v>
      </c>
      <c r="AD9" s="3">
        <f>((0.3405*(AC9)+12.225)*'Labor Results Matrix'!$G$73)*1.2*'Labor Adjustment'!$B$4</f>
        <v>994.00207379619303</v>
      </c>
      <c r="AE9" s="122">
        <f>AD9*Inflation!$D$3</f>
        <v>1071.7266408767871</v>
      </c>
    </row>
    <row r="10" spans="1:31" ht="16.5" customHeight="1">
      <c r="A10" s="15">
        <v>60</v>
      </c>
      <c r="B10" s="36">
        <f>((A10*'Equipment Results Matrix'!$R$189)+'Equipment Results Matrix'!$R$190+'Equipment Results Matrix'!$T$196+'Equipment Results Matrix'!$R$192+'Equipment Results Matrix'!$R$194)*(1+'Equipment Results Matrix'!$T$198)+$AD$15</f>
        <v>8033.4046866731524</v>
      </c>
      <c r="C10" s="36">
        <f>(($A10*'Equipment Results Matrix'!$R$189)+'Equipment Results Matrix'!$R$190+'Equipment Results Matrix'!$T$196+'Equipment Results Matrix'!$R$192+'Equipment Results Matrix'!$R$195)*(1+'Equipment Results Matrix'!$T$198)+$AD$15</f>
        <v>7502.3686866731523</v>
      </c>
      <c r="D10" s="36">
        <f>(($A10*'Equipment Results Matrix'!$R$189)+'Equipment Results Matrix'!$R$190+'Equipment Results Matrix'!$T$196+'Equipment Results Matrix'!$R$192+'Equipment Results Matrix'!$R$196)*(1+'Equipment Results Matrix'!$T$198)+$AD$15</f>
        <v>6920.1046866731522</v>
      </c>
      <c r="E10" s="117">
        <f t="shared" si="0"/>
        <v>7485.2926866731532</v>
      </c>
      <c r="F10" s="117">
        <f>AVERAGE(B10:D10)*Inflation!$D$3</f>
        <v>8070.5944168006254</v>
      </c>
      <c r="H10" s="15">
        <v>60</v>
      </c>
      <c r="I10" s="36">
        <f>(($A10*'Equipment Results Matrix'!$R$189)+'Equipment Results Matrix'!$R$190+'Equipment Results Matrix'!$T$196+'Equipment Results Matrix'!$R$193+'Equipment Results Matrix'!$R$194)*(1+'Equipment Results Matrix'!$T$198)+$AD$15</f>
        <v>7085.7166866731523</v>
      </c>
      <c r="J10" s="36">
        <f>(($A10*'Equipment Results Matrix'!$R$189)+'Equipment Results Matrix'!$R$190+'Equipment Results Matrix'!$T$196+'Equipment Results Matrix'!$R$193+'Equipment Results Matrix'!$R$195)*(1+'Equipment Results Matrix'!$T$198)+$AD$15</f>
        <v>6554.6806866731522</v>
      </c>
      <c r="K10" s="36">
        <f>(($A10*'Equipment Results Matrix'!$R$189)+'Equipment Results Matrix'!$R$190+'Equipment Results Matrix'!$T$196+'Equipment Results Matrix'!$R$193+'Equipment Results Matrix'!$R$196)*(1+'Equipment Results Matrix'!$T$198)+$AD$15</f>
        <v>5972.4166866731521</v>
      </c>
      <c r="L10" s="117">
        <f t="shared" si="1"/>
        <v>6537.6046866731522</v>
      </c>
      <c r="M10" s="117">
        <f>AVERAGE(I10:K10)*Inflation!$D$3</f>
        <v>7048.8033123210089</v>
      </c>
      <c r="P10" s="120"/>
      <c r="Q10" s="124"/>
      <c r="S10" s="95" t="s">
        <v>139</v>
      </c>
      <c r="AB10" s="2031"/>
      <c r="AC10" s="116">
        <v>20</v>
      </c>
      <c r="AD10" s="3">
        <f>((0.3405*(AC10)+12.225)*'Labor Results Matrix'!$G$73)*1.2*'Labor Adjustment'!$B$4</f>
        <v>1091.6387984832272</v>
      </c>
      <c r="AE10" s="122">
        <f>AD10*Inflation!$D$3</f>
        <v>1176.997929271002</v>
      </c>
    </row>
    <row r="11" spans="1:31" ht="15" customHeight="1">
      <c r="A11" s="15">
        <v>75</v>
      </c>
      <c r="B11" s="36">
        <f>((A11*'Equipment Results Matrix'!$R$189)+'Equipment Results Matrix'!$R$190+'Equipment Results Matrix'!$T$196+'Equipment Results Matrix'!$R$192+'Equipment Results Matrix'!$R$194)*(1+'Equipment Results Matrix'!$T$198)+$AD$16</f>
        <v>8934.9112827207045</v>
      </c>
      <c r="C11" s="36">
        <f>(($A11*'Equipment Results Matrix'!$R$189)+'Equipment Results Matrix'!$R$190+'Equipment Results Matrix'!$T$196+'Equipment Results Matrix'!$R$192+'Equipment Results Matrix'!$R$195)*(1+'Equipment Results Matrix'!$T$198)+$AD$16</f>
        <v>8403.8752827207045</v>
      </c>
      <c r="D11" s="36">
        <f>(($A11*'Equipment Results Matrix'!$R$189)+'Equipment Results Matrix'!$R$190+'Equipment Results Matrix'!$T$196+'Equipment Results Matrix'!$R$192+'Equipment Results Matrix'!$R$196)*(1+'Equipment Results Matrix'!$T$198)+$AD$16</f>
        <v>7821.6112827207053</v>
      </c>
      <c r="E11" s="117">
        <f t="shared" si="0"/>
        <v>8386.7992827207054</v>
      </c>
      <c r="F11" s="117">
        <f>AVERAGE(B11:D11)*Inflation!$D$3</f>
        <v>9042.5930286550411</v>
      </c>
      <c r="H11" s="15">
        <v>75</v>
      </c>
      <c r="I11" s="36">
        <f>(($A11*'Equipment Results Matrix'!$R$189)+'Equipment Results Matrix'!$R$190+'Equipment Results Matrix'!$T$196+'Equipment Results Matrix'!$R$193+'Equipment Results Matrix'!$R$194)*(1+'Equipment Results Matrix'!$T$198)+$AD$16</f>
        <v>7987.2232827207044</v>
      </c>
      <c r="J11" s="36">
        <f>(($A11*'Equipment Results Matrix'!$R$189)+'Equipment Results Matrix'!$R$190+'Equipment Results Matrix'!$T$196+'Equipment Results Matrix'!$R$193+'Equipment Results Matrix'!$R$195)*(1+'Equipment Results Matrix'!$T$198)+$AD$16</f>
        <v>7456.1872827207044</v>
      </c>
      <c r="K11" s="36">
        <f>(($A11*'Equipment Results Matrix'!$R$189)+'Equipment Results Matrix'!$R$190+'Equipment Results Matrix'!$T$196+'Equipment Results Matrix'!$R$193+'Equipment Results Matrix'!$R$196)*(1+'Equipment Results Matrix'!$T$198)+$AD$16</f>
        <v>6873.9232827207052</v>
      </c>
      <c r="L11" s="117">
        <f t="shared" si="1"/>
        <v>7439.1112827207044</v>
      </c>
      <c r="M11" s="117">
        <f>AVERAGE(I11:K11)*Inflation!$D$3</f>
        <v>8020.8019241754237</v>
      </c>
      <c r="P11" s="120"/>
      <c r="Q11" s="124"/>
      <c r="AB11" s="2031"/>
      <c r="AC11" s="116">
        <v>25</v>
      </c>
      <c r="AD11" s="3">
        <f>((0.3405*(AC11)+12.225)*'Labor Results Matrix'!$G$73)*1.2*'Labor Adjustment'!$B$4</f>
        <v>1189.2755231702615</v>
      </c>
      <c r="AE11" s="122">
        <f>AD11*Inflation!$D$3</f>
        <v>1282.2692176652172</v>
      </c>
    </row>
    <row r="12" spans="1:31" ht="30" customHeight="1">
      <c r="A12" s="15">
        <v>100</v>
      </c>
      <c r="B12" s="36">
        <f>((A12*'Equipment Results Matrix'!$R$189)+'Equipment Results Matrix'!$R$190+'Equipment Results Matrix'!$T$196+'Equipment Results Matrix'!$R$192+'Equipment Results Matrix'!$R$194)*(1+'Equipment Results Matrix'!$T$198)+$AD$17</f>
        <v>10437.422276133293</v>
      </c>
      <c r="C12" s="36">
        <f>(($A12*'Equipment Results Matrix'!$R$189)+'Equipment Results Matrix'!$R$190+'Equipment Results Matrix'!$T$196+'Equipment Results Matrix'!$R$192+'Equipment Results Matrix'!$R$195)*(1+'Equipment Results Matrix'!$T$198)+$AD$17</f>
        <v>9906.386276133293</v>
      </c>
      <c r="D12" s="36">
        <f>(($A12*'Equipment Results Matrix'!$R$189)+'Equipment Results Matrix'!$R$190+'Equipment Results Matrix'!$T$196+'Equipment Results Matrix'!$R$192+'Equipment Results Matrix'!$R$196)*(1+'Equipment Results Matrix'!$T$198)+$AD$17</f>
        <v>9324.122276133292</v>
      </c>
      <c r="E12" s="117">
        <f t="shared" si="0"/>
        <v>9889.3102761332921</v>
      </c>
      <c r="F12" s="117">
        <f>AVERAGE(B12:D12)*Inflation!$D$3</f>
        <v>10662.590715079066</v>
      </c>
      <c r="H12" s="15">
        <v>100</v>
      </c>
      <c r="I12" s="36">
        <f>(($A12*'Equipment Results Matrix'!$R$189)+'Equipment Results Matrix'!$R$190+'Equipment Results Matrix'!$T$196+'Equipment Results Matrix'!$R$193+'Equipment Results Matrix'!$R$194)*(1+'Equipment Results Matrix'!$T$198)+$AD$17</f>
        <v>9489.734276133293</v>
      </c>
      <c r="J12" s="36">
        <f>(($A12*'Equipment Results Matrix'!$R$189)+'Equipment Results Matrix'!$R$190+'Equipment Results Matrix'!$T$196+'Equipment Results Matrix'!$R$193+'Equipment Results Matrix'!$R$195)*(1+'Equipment Results Matrix'!$T$198)+$AD$17</f>
        <v>8958.6982761332929</v>
      </c>
      <c r="K12" s="36">
        <f>(($A12*'Equipment Results Matrix'!$R$189)+'Equipment Results Matrix'!$R$190+'Equipment Results Matrix'!$T$196+'Equipment Results Matrix'!$R$193+'Equipment Results Matrix'!$R$196)*(1+'Equipment Results Matrix'!$T$198)+$AD$17</f>
        <v>8376.4342761332919</v>
      </c>
      <c r="L12" s="117">
        <f t="shared" si="1"/>
        <v>8941.622276133292</v>
      </c>
      <c r="M12" s="117">
        <f>AVERAGE(I12:K12)*Inflation!$D$3</f>
        <v>9640.7996105994498</v>
      </c>
      <c r="P12" s="120"/>
      <c r="Q12" s="124"/>
      <c r="S12" s="16" t="s">
        <v>54</v>
      </c>
      <c r="T12" s="108" t="s">
        <v>52</v>
      </c>
      <c r="U12" s="2033" t="s">
        <v>117</v>
      </c>
      <c r="V12" s="2034"/>
      <c r="W12" s="2034"/>
      <c r="X12" s="2034"/>
      <c r="Y12" s="2034"/>
      <c r="Z12" s="2035"/>
      <c r="AB12" s="2031"/>
      <c r="AC12" s="116">
        <v>30</v>
      </c>
      <c r="AD12" s="3">
        <f>((0.3405*(AC12)+12.225)*'Labor Results Matrix'!$G$73)*1.2*'Labor Adjustment'!$B$4</f>
        <v>1286.9122478572951</v>
      </c>
      <c r="AE12" s="122">
        <f>AD12*Inflation!$D$3</f>
        <v>1387.5405060594314</v>
      </c>
    </row>
    <row r="13" spans="1:31" ht="44.25" customHeight="1">
      <c r="A13" s="15">
        <v>200</v>
      </c>
      <c r="B13" s="36">
        <f>((A13*'Equipment Results Matrix'!$R$189)+'Equipment Results Matrix'!$R$190+'Equipment Results Matrix'!$T$196+'Equipment Results Matrix'!$R$192+'Equipment Results Matrix'!$R$194)*(1+'Equipment Results Matrix'!$T$198)+$AD$18</f>
        <v>16447.46624978364</v>
      </c>
      <c r="C13" s="36">
        <f>(($A13*'Equipment Results Matrix'!$R$189)+'Equipment Results Matrix'!$R$190+'Equipment Results Matrix'!$T$196+'Equipment Results Matrix'!$R$192+'Equipment Results Matrix'!$R$195)*(1+'Equipment Results Matrix'!$T$198)+$AD$18</f>
        <v>15916.430249783642</v>
      </c>
      <c r="D13" s="36">
        <f>(($A13*'Equipment Results Matrix'!$R$189)+'Equipment Results Matrix'!$R$190+'Equipment Results Matrix'!$T$196+'Equipment Results Matrix'!$R$192+'Equipment Results Matrix'!$R$196)*(1+'Equipment Results Matrix'!$T$198)+$AD$18</f>
        <v>15334.166249783642</v>
      </c>
      <c r="E13" s="117">
        <f t="shared" si="0"/>
        <v>15899.354249783641</v>
      </c>
      <c r="F13" s="117">
        <f>AVERAGE(B13:D13)*Inflation!$D$3</f>
        <v>17142.581460775167</v>
      </c>
      <c r="H13" s="15">
        <v>200</v>
      </c>
      <c r="I13" s="36">
        <f>(($A13*'Equipment Results Matrix'!$R$189)+'Equipment Results Matrix'!$R$190+'Equipment Results Matrix'!$T$196+'Equipment Results Matrix'!$R$193+'Equipment Results Matrix'!$R$194)*(1+'Equipment Results Matrix'!$T$198)+$AD$18</f>
        <v>15499.778249783642</v>
      </c>
      <c r="J13" s="36">
        <f>(($A13*'Equipment Results Matrix'!$R$189)+'Equipment Results Matrix'!$R$190+'Equipment Results Matrix'!$T$196+'Equipment Results Matrix'!$R$193+'Equipment Results Matrix'!$R$195)*(1+'Equipment Results Matrix'!$T$198)+$AD$18</f>
        <v>14968.742249783641</v>
      </c>
      <c r="K13" s="36">
        <f>(($A13*'Equipment Results Matrix'!$R$189)+'Equipment Results Matrix'!$R$190+'Equipment Results Matrix'!$T$196+'Equipment Results Matrix'!$R$193+'Equipment Results Matrix'!$R$196)*(1+'Equipment Results Matrix'!$T$198)+$AD$18</f>
        <v>14386.478249783642</v>
      </c>
      <c r="L13" s="117">
        <f t="shared" si="1"/>
        <v>14951.666249783642</v>
      </c>
      <c r="M13" s="117">
        <f>AVERAGE(I13:K13)*Inflation!$D$3</f>
        <v>16120.790356295554</v>
      </c>
      <c r="P13" s="120"/>
      <c r="Q13" s="124"/>
      <c r="S13" s="2036" t="s">
        <v>50</v>
      </c>
      <c r="T13" s="2036" t="s">
        <v>118</v>
      </c>
      <c r="U13" s="2037" t="s">
        <v>420</v>
      </c>
      <c r="V13" s="2038"/>
      <c r="W13" s="2038"/>
      <c r="X13" s="2038"/>
      <c r="Y13" s="2038"/>
      <c r="Z13" s="2039"/>
      <c r="AB13" s="2031"/>
      <c r="AC13" s="15">
        <v>40</v>
      </c>
      <c r="AD13" s="3">
        <f>((0.3405*(AC13)+12.225)*'Labor Results Matrix'!$G$73)*1.2*'Labor Adjustment'!$B$4</f>
        <v>1482.1856972313635</v>
      </c>
      <c r="AE13" s="122">
        <f>AD13*Inflation!$D$3</f>
        <v>1598.0830828478615</v>
      </c>
    </row>
    <row r="14" spans="1:31" ht="47.25" customHeight="1">
      <c r="Q14" s="112"/>
      <c r="S14" s="2036"/>
      <c r="T14" s="2036"/>
      <c r="U14" s="101" t="s">
        <v>121</v>
      </c>
      <c r="V14" s="101" t="s">
        <v>122</v>
      </c>
      <c r="W14" s="101" t="s">
        <v>123</v>
      </c>
      <c r="X14" s="101" t="s">
        <v>124</v>
      </c>
      <c r="Y14" s="101" t="s">
        <v>125</v>
      </c>
      <c r="Z14" s="101" t="s">
        <v>126</v>
      </c>
      <c r="AB14" s="2031"/>
      <c r="AC14" s="15">
        <v>50</v>
      </c>
      <c r="AD14" s="3">
        <f>((0.3405*(AC14)+12.225)*'Labor Results Matrix'!$G$73)*1.2*'Labor Adjustment'!$B$4</f>
        <v>1677.4591466054317</v>
      </c>
      <c r="AE14" s="122">
        <f>AD14*Inflation!$D$3</f>
        <v>1808.6256596362912</v>
      </c>
    </row>
    <row r="15" spans="1:31" ht="33" customHeight="1">
      <c r="A15" s="2051" t="s">
        <v>463</v>
      </c>
      <c r="B15" s="2052"/>
      <c r="C15" s="2052"/>
      <c r="D15" s="2052"/>
      <c r="E15" s="2052"/>
      <c r="F15" s="2052"/>
      <c r="G15" s="2052"/>
      <c r="H15" s="2052"/>
      <c r="I15" s="2053"/>
      <c r="Q15" s="112"/>
      <c r="S15" s="102">
        <v>15</v>
      </c>
      <c r="T15" s="34">
        <f>T4*Inflation!$D$3</f>
        <v>3442.6720572629524</v>
      </c>
      <c r="U15" s="36">
        <f>U4*Inflation!$D$3</f>
        <v>4620.8093178636154</v>
      </c>
      <c r="V15" s="36">
        <f>V4*Inflation!$D$3</f>
        <v>4048.2497191787761</v>
      </c>
      <c r="W15" s="36">
        <f>W4*Inflation!$D$3</f>
        <v>3420.456420478446</v>
      </c>
      <c r="X15" s="36">
        <f>X4*Inflation!$D$3</f>
        <v>3599.018213383999</v>
      </c>
      <c r="Y15" s="36">
        <f>Y4*Inflation!$D$3</f>
        <v>3026.4586146991605</v>
      </c>
      <c r="Z15" s="36">
        <f>Z4*Inflation!$D$3</f>
        <v>2398.66531599883</v>
      </c>
      <c r="AB15" s="2031" t="s">
        <v>370</v>
      </c>
      <c r="AC15" s="15">
        <v>60</v>
      </c>
      <c r="AD15" s="3">
        <f>((0.0796*(AC15)+30.5)*'Labor Results Matrix'!$G$72)*1.2*'Labor Adjustment'!$B$4</f>
        <v>2267.4312581017239</v>
      </c>
      <c r="AE15" s="122">
        <f>AD15*Inflation!$D$3</f>
        <v>2444.7297945604091</v>
      </c>
    </row>
    <row r="16" spans="1:31" ht="45" customHeight="1">
      <c r="A16" s="2036" t="s">
        <v>50</v>
      </c>
      <c r="B16" s="2046" t="s">
        <v>420</v>
      </c>
      <c r="C16" s="2047"/>
      <c r="D16" s="2047"/>
      <c r="E16" s="2047"/>
      <c r="F16" s="2047"/>
      <c r="G16" s="2047"/>
      <c r="H16" s="2047"/>
      <c r="I16" s="2048"/>
      <c r="L16" s="4" t="s">
        <v>634</v>
      </c>
      <c r="Q16" s="112"/>
      <c r="S16" s="102">
        <v>25</v>
      </c>
      <c r="T16" s="34">
        <f>T5*Inflation!$D$3</f>
        <v>4593.1045925274593</v>
      </c>
      <c r="U16" s="36">
        <f>U5*Inflation!$D$3</f>
        <v>5424.1858451579837</v>
      </c>
      <c r="V16" s="36">
        <f>V5*Inflation!$D$3</f>
        <v>4851.6262464731453</v>
      </c>
      <c r="W16" s="36">
        <f>W5*Inflation!$D$3</f>
        <v>4223.8329477728148</v>
      </c>
      <c r="X16" s="36">
        <f>X5*Inflation!$D$3</f>
        <v>4402.3947406783682</v>
      </c>
      <c r="Y16" s="36">
        <f>Y5*Inflation!$D$3</f>
        <v>3829.8351419935293</v>
      </c>
      <c r="Z16" s="36">
        <f>Z5*Inflation!$D$3</f>
        <v>3202.0418432931988</v>
      </c>
      <c r="AB16" s="2031"/>
      <c r="AC16" s="118">
        <v>75</v>
      </c>
      <c r="AD16" s="3">
        <f>((0.0796*(AC16)+30.5)*'Labor Results Matrix'!$G$72)*1.2*'Labor Adjustment'!$B$4</f>
        <v>2344.1778541492763</v>
      </c>
      <c r="AE16" s="122">
        <f>AD16*Inflation!$D$3</f>
        <v>2527.4774806559167</v>
      </c>
    </row>
    <row r="17" spans="1:32" ht="45" customHeight="1">
      <c r="A17" s="2036"/>
      <c r="B17" s="115" t="s">
        <v>127</v>
      </c>
      <c r="C17" s="115" t="s">
        <v>128</v>
      </c>
      <c r="D17" s="115" t="s">
        <v>129</v>
      </c>
      <c r="E17" s="115" t="s">
        <v>133</v>
      </c>
      <c r="F17" s="115" t="s">
        <v>134</v>
      </c>
      <c r="G17" s="115" t="s">
        <v>135</v>
      </c>
      <c r="H17" s="115" t="s">
        <v>404</v>
      </c>
      <c r="I17" s="115" t="s">
        <v>405</v>
      </c>
      <c r="Q17" s="112"/>
      <c r="S17" s="102">
        <v>50</v>
      </c>
      <c r="T17" s="34">
        <f>T6*Inflation!$D$3</f>
        <v>6952.1921156378066</v>
      </c>
      <c r="U17" s="36">
        <f>U6*Inflation!$D$3</f>
        <v>7011.5420098170443</v>
      </c>
      <c r="V17" s="36">
        <f>V6*Inflation!$D$3</f>
        <v>6438.9824111322059</v>
      </c>
      <c r="W17" s="36">
        <f>W6*Inflation!$D$3</f>
        <v>5811.1891124318754</v>
      </c>
      <c r="X17" s="36">
        <f>X6*Inflation!$D$3</f>
        <v>5989.7509053374288</v>
      </c>
      <c r="Y17" s="36">
        <f>Y6*Inflation!$D$3</f>
        <v>5417.1913066525913</v>
      </c>
      <c r="Z17" s="36">
        <f>Z6*Inflation!$D$3</f>
        <v>4789.3980079522589</v>
      </c>
      <c r="AB17" s="2031"/>
      <c r="AC17" s="119">
        <v>100</v>
      </c>
      <c r="AD17" s="3">
        <f>((0.0796*(AC17)+30.5)*'Labor Results Matrix'!$G$72)*1.2*'Labor Adjustment'!$B$4</f>
        <v>2472.088847561864</v>
      </c>
      <c r="AE17" s="122">
        <f>AD17*Inflation!$D$3</f>
        <v>2665.3902908150967</v>
      </c>
    </row>
    <row r="18" spans="1:32">
      <c r="A18" s="116">
        <v>2</v>
      </c>
      <c r="B18" s="3">
        <f>(((A18*'Equipment Results Matrix'!$R$200)+'Equipment Results Matrix'!$R$201+'Equipment Results Matrix'!$T$207+'Equipment Results Matrix'!$R$203+'Equipment Results Matrix'!$R$205+'Equipment Results Matrix'!$R$209)*(1+'Equipment Results Matrix'!$T$209))+$AD$3</f>
        <v>2668.4654078475414</v>
      </c>
      <c r="C18" s="3">
        <f>((A18*'Equipment Results Matrix'!$R$200)+'Equipment Results Matrix'!$R$201+'Equipment Results Matrix'!$T$207+'Equipment Results Matrix'!$R$203+'Equipment Results Matrix'!$R$206+'Equipment Results Matrix'!$R$209)*(1+'Equipment Results Matrix'!$T$209)+$AD$3</f>
        <v>1742.3534078475411</v>
      </c>
      <c r="D18" s="3">
        <f>((A18*'Equipment Results Matrix'!$R$200)+'Equipment Results Matrix'!$R$201+'Equipment Results Matrix'!$T$207+'Equipment Results Matrix'!$R$203+'Equipment Results Matrix'!$R$207+'Equipment Results Matrix'!$R$209)*(1+'Equipment Results Matrix'!$T$209)+$AD$3</f>
        <v>1444.0454078475411</v>
      </c>
      <c r="E18" s="3">
        <f>((A18*'Equipment Results Matrix'!$R$200)+'Equipment Results Matrix'!$R$201+'Equipment Results Matrix'!$T$207+'Equipment Results Matrix'!$R$203+'Equipment Results Matrix'!$R$205+'Equipment Results Matrix'!$R$208)*(1+'Equipment Results Matrix'!$T$209)+$AD$3</f>
        <v>2805.8174078475413</v>
      </c>
      <c r="F18" s="3">
        <f>((A18*'Equipment Results Matrix'!$R$200)+'Equipment Results Matrix'!$R$201+'Equipment Results Matrix'!$T$207+'Equipment Results Matrix'!$R$203+'Equipment Results Matrix'!$R$206+'Equipment Results Matrix'!$R$208)*(1+'Equipment Results Matrix'!$T$209)+$AD$3</f>
        <v>1879.705407847541</v>
      </c>
      <c r="G18" s="3">
        <f>((A18*'Equipment Results Matrix'!$R$200)+'Equipment Results Matrix'!$R$201+'Equipment Results Matrix'!$T$207+'Equipment Results Matrix'!$R$203+'Equipment Results Matrix'!$R$207+'Equipment Results Matrix'!$R$208)*(1+'Equipment Results Matrix'!$T$209)+$AD$3</f>
        <v>1581.3974078475412</v>
      </c>
      <c r="H18" s="117">
        <f t="shared" ref="H18:H23" si="2">AVERAGE(B18:G18)</f>
        <v>2020.2974078475411</v>
      </c>
      <c r="I18" s="117">
        <f>H18*Inflation!$D$3</f>
        <v>2178.2716671962116</v>
      </c>
      <c r="Q18" s="112"/>
      <c r="S18" s="195">
        <v>75</v>
      </c>
      <c r="T18" s="196">
        <f>T7*Inflation!$D$3</f>
        <v>9064.3733120606448</v>
      </c>
      <c r="U18" s="197">
        <f>U7*Inflation!$D$3</f>
        <v>9633.5638606783759</v>
      </c>
      <c r="V18" s="197">
        <f>V7*Inflation!$D$3</f>
        <v>9061.0042619935375</v>
      </c>
      <c r="W18" s="197">
        <f>W7*Inflation!$D$3</f>
        <v>8433.2109632932079</v>
      </c>
      <c r="X18" s="197">
        <f>X7*Inflation!$D$3</f>
        <v>8611.7727561987595</v>
      </c>
      <c r="Y18" s="36">
        <f>Y7*Inflation!$D$3</f>
        <v>8039.213157513921</v>
      </c>
      <c r="Z18" s="36">
        <f>Z7*Inflation!$D$3</f>
        <v>7411.4198588135914</v>
      </c>
      <c r="AB18" s="2031"/>
      <c r="AC18" s="119">
        <v>200</v>
      </c>
      <c r="AD18" s="3">
        <f>((0.0796*(AC18)+30.5)*'Labor Results Matrix'!$G$72)*1.2*'Labor Adjustment'!$B$4</f>
        <v>2983.7328212122138</v>
      </c>
      <c r="AE18" s="122">
        <f>AD18*Inflation!$D$3</f>
        <v>3217.041531451815</v>
      </c>
    </row>
    <row r="19" spans="1:32">
      <c r="A19" s="114">
        <v>3</v>
      </c>
      <c r="B19" s="3">
        <f>(((A19*'Equipment Results Matrix'!$R$200)+'Equipment Results Matrix'!$R$201+'Equipment Results Matrix'!$T$207+'Equipment Results Matrix'!$R$203+'Equipment Results Matrix'!$R$205+'Equipment Results Matrix'!$R$209)*(1+'Equipment Results Matrix'!$T$209))+$AD$4</f>
        <v>2745.1151652489179</v>
      </c>
      <c r="C19" s="3">
        <f>((A19*'Equipment Results Matrix'!$R$200)+'Equipment Results Matrix'!$R$201+'Equipment Results Matrix'!$T$207+'Equipment Results Matrix'!$R$203+'Equipment Results Matrix'!$R$206+'Equipment Results Matrix'!$R$209)*(1+'Equipment Results Matrix'!$T$209)+$AD$4</f>
        <v>1819.0031652489183</v>
      </c>
      <c r="D19" s="3">
        <f>((A19*'Equipment Results Matrix'!$R$200)+'Equipment Results Matrix'!$R$201+'Equipment Results Matrix'!$T$207+'Equipment Results Matrix'!$R$203+'Equipment Results Matrix'!$R$207+'Equipment Results Matrix'!$R$209)*(1+'Equipment Results Matrix'!$T$209)+$AD$4</f>
        <v>1520.6951652489186</v>
      </c>
      <c r="E19" s="3">
        <f>((A19*'Equipment Results Matrix'!$R$200)+'Equipment Results Matrix'!$R$201+'Equipment Results Matrix'!$T$207+'Equipment Results Matrix'!$R$203+'Equipment Results Matrix'!$R$205+'Equipment Results Matrix'!$R$208)*(1+'Equipment Results Matrix'!$T$209)+$AD$4</f>
        <v>2882.4671652489187</v>
      </c>
      <c r="F19" s="3">
        <f>((A19*'Equipment Results Matrix'!$R$200)+'Equipment Results Matrix'!$R$201+'Equipment Results Matrix'!$T$207+'Equipment Results Matrix'!$R$203+'Equipment Results Matrix'!$R$206+'Equipment Results Matrix'!$R$208)*(1+'Equipment Results Matrix'!$T$209)+$AD$4</f>
        <v>1956.3551652489184</v>
      </c>
      <c r="G19" s="3">
        <f>((A19*'Equipment Results Matrix'!$R$200)+'Equipment Results Matrix'!$R$201+'Equipment Results Matrix'!$T$207+'Equipment Results Matrix'!$R$203+'Equipment Results Matrix'!$R$207+'Equipment Results Matrix'!$R$208)*(1+'Equipment Results Matrix'!$T$209)+$AD$4</f>
        <v>1658.0471652489186</v>
      </c>
      <c r="H19" s="117">
        <f t="shared" si="2"/>
        <v>2096.9471652489187</v>
      </c>
      <c r="I19" s="117">
        <f>H19*Inflation!$D$3</f>
        <v>2260.9149424864427</v>
      </c>
      <c r="P19" s="193"/>
      <c r="Q19" s="205"/>
      <c r="R19" s="203"/>
      <c r="S19" s="15">
        <v>100</v>
      </c>
      <c r="T19" s="34">
        <f>T8*Inflation!$D$3</f>
        <v>11313.485091406252</v>
      </c>
      <c r="U19" s="36">
        <f>U8*Inflation!$D$3</f>
        <v>11253.561547102403</v>
      </c>
      <c r="V19" s="36">
        <f>V8*Inflation!$D$3</f>
        <v>10681.001948417565</v>
      </c>
      <c r="W19" s="36">
        <f>W8*Inflation!$D$3</f>
        <v>10053.208649717233</v>
      </c>
      <c r="X19" s="36">
        <f>X8*Inflation!$D$3</f>
        <v>10231.770442622787</v>
      </c>
      <c r="Y19" s="194">
        <f>Y8*Inflation!$D$3</f>
        <v>9659.2108439379481</v>
      </c>
      <c r="Z19" s="36">
        <f>Z8*Inflation!$D$3</f>
        <v>9031.4175452376167</v>
      </c>
    </row>
    <row r="20" spans="1:32">
      <c r="A20" s="114">
        <v>4</v>
      </c>
      <c r="B20" s="3">
        <f>(((A20*'Equipment Results Matrix'!$R$200)+'Equipment Results Matrix'!$R$201+'Equipment Results Matrix'!$T$207+'Equipment Results Matrix'!$R$203+'Equipment Results Matrix'!$R$205+'Equipment Results Matrix'!$R$209)*(1+'Equipment Results Matrix'!$T$209))+$AD$5</f>
        <v>2821.7649226502958</v>
      </c>
      <c r="C20" s="3">
        <f>((A20*'Equipment Results Matrix'!$R$200)+'Equipment Results Matrix'!$R$201+'Equipment Results Matrix'!$T$207+'Equipment Results Matrix'!$R$203+'Equipment Results Matrix'!$R$206+'Equipment Results Matrix'!$R$209)*(1+'Equipment Results Matrix'!$T$209)+$AD$5</f>
        <v>1895.6529226502957</v>
      </c>
      <c r="D20" s="3">
        <f>((A20*'Equipment Results Matrix'!$R$200)+'Equipment Results Matrix'!$R$201+'Equipment Results Matrix'!$T$207+'Equipment Results Matrix'!$R$203+'Equipment Results Matrix'!$R$207+'Equipment Results Matrix'!$R$209)*(1+'Equipment Results Matrix'!$T$209)+$AD$5</f>
        <v>1597.344922650296</v>
      </c>
      <c r="E20" s="3">
        <f>((A20*'Equipment Results Matrix'!$R$200)+'Equipment Results Matrix'!$R$201+'Equipment Results Matrix'!$T$207+'Equipment Results Matrix'!$R$203+'Equipment Results Matrix'!$R$205+'Equipment Results Matrix'!$R$208)*(1+'Equipment Results Matrix'!$T$209)+$AD$5</f>
        <v>2959.1169226502961</v>
      </c>
      <c r="F20" s="3">
        <f>((A20*'Equipment Results Matrix'!$R$200)+'Equipment Results Matrix'!$R$201+'Equipment Results Matrix'!$T$207+'Equipment Results Matrix'!$R$203+'Equipment Results Matrix'!$R$206+'Equipment Results Matrix'!$R$208)*(1+'Equipment Results Matrix'!$T$209)+$AD$5</f>
        <v>2033.0049226502961</v>
      </c>
      <c r="G20" s="3">
        <f>((A20*'Equipment Results Matrix'!$R$200)+'Equipment Results Matrix'!$R$201+'Equipment Results Matrix'!$T$207+'Equipment Results Matrix'!$R$203+'Equipment Results Matrix'!$R$207+'Equipment Results Matrix'!$R$208)*(1+'Equipment Results Matrix'!$T$209)+$AD$5</f>
        <v>1734.6969226502961</v>
      </c>
      <c r="H20" s="117">
        <f t="shared" si="2"/>
        <v>2173.5969226502962</v>
      </c>
      <c r="I20" s="117">
        <f>H20*Inflation!$D$3</f>
        <v>2343.5582177766732</v>
      </c>
      <c r="Q20" s="112"/>
      <c r="S20" s="198">
        <v>200</v>
      </c>
      <c r="T20" s="199">
        <f>T9*Inflation!$D$3</f>
        <v>18616.090116098381</v>
      </c>
      <c r="U20" s="200">
        <f>U9*Inflation!$D$3</f>
        <v>17733.552292798504</v>
      </c>
      <c r="V20" s="200">
        <f>V9*Inflation!$D$3</f>
        <v>17160.992694113665</v>
      </c>
      <c r="W20" s="200">
        <f>W9*Inflation!$D$3</f>
        <v>16533.199395413336</v>
      </c>
      <c r="X20" s="200">
        <f>X9*Inflation!$D$3</f>
        <v>16711.761188318891</v>
      </c>
      <c r="Y20" s="36">
        <f>Y9*Inflation!$D$3</f>
        <v>16139.201589634051</v>
      </c>
      <c r="Z20" s="36">
        <f>Z9*Inflation!$D$3</f>
        <v>15511.408290933721</v>
      </c>
    </row>
    <row r="21" spans="1:32">
      <c r="A21" s="114">
        <v>5</v>
      </c>
      <c r="B21" s="3">
        <f>(((A21*'Equipment Results Matrix'!$R$200)+'Equipment Results Matrix'!$R$201+'Equipment Results Matrix'!$T$207+'Equipment Results Matrix'!$R$203+'Equipment Results Matrix'!$R$205+'Equipment Results Matrix'!$R$209)*(1+'Equipment Results Matrix'!$T$209))+$AD$6</f>
        <v>2898.4146800516728</v>
      </c>
      <c r="C21" s="3">
        <f>((A21*'Equipment Results Matrix'!$R$200)+'Equipment Results Matrix'!$R$201+'Equipment Results Matrix'!$T$207+'Equipment Results Matrix'!$R$203+'Equipment Results Matrix'!$R$206+'Equipment Results Matrix'!$R$209)*(1+'Equipment Results Matrix'!$T$209)+$AD$6</f>
        <v>1972.3026800516732</v>
      </c>
      <c r="D21" s="3">
        <f>((A21*'Equipment Results Matrix'!$R$200)+'Equipment Results Matrix'!$R$201+'Equipment Results Matrix'!$T$207+'Equipment Results Matrix'!$R$203+'Equipment Results Matrix'!$R$207+'Equipment Results Matrix'!$R$209)*(1+'Equipment Results Matrix'!$T$209)+$AD$6</f>
        <v>1673.9946800516732</v>
      </c>
      <c r="E21" s="3">
        <f>((A21*'Equipment Results Matrix'!$R$200)+'Equipment Results Matrix'!$R$201+'Equipment Results Matrix'!$T$207+'Equipment Results Matrix'!$R$203+'Equipment Results Matrix'!$R$205+'Equipment Results Matrix'!$R$208)*(1+'Equipment Results Matrix'!$T$209)+$AD$6</f>
        <v>3035.7666800516736</v>
      </c>
      <c r="F21" s="3">
        <f>((A21*'Equipment Results Matrix'!$R$200)+'Equipment Results Matrix'!$R$201+'Equipment Results Matrix'!$T$207+'Equipment Results Matrix'!$R$203+'Equipment Results Matrix'!$R$206+'Equipment Results Matrix'!$R$208)*(1+'Equipment Results Matrix'!$T$209)+$AD$6</f>
        <v>2109.6546800516735</v>
      </c>
      <c r="G21" s="3">
        <f>((A21*'Equipment Results Matrix'!$R$200)+'Equipment Results Matrix'!$R$201+'Equipment Results Matrix'!$T$207+'Equipment Results Matrix'!$R$203+'Equipment Results Matrix'!$R$207+'Equipment Results Matrix'!$R$208)*(1+'Equipment Results Matrix'!$T$209)+$AD$6</f>
        <v>1811.3466800516733</v>
      </c>
      <c r="H21" s="117">
        <f t="shared" si="2"/>
        <v>2250.2466800516736</v>
      </c>
      <c r="I21" s="117">
        <f>H21*Inflation!$D$3</f>
        <v>2426.2014930669038</v>
      </c>
      <c r="Q21" s="112"/>
    </row>
    <row r="22" spans="1:32" ht="31.2">
      <c r="A22" s="121">
        <v>7.5</v>
      </c>
      <c r="B22" s="3">
        <f>(((A22*'Equipment Results Matrix'!$R$200)+'Equipment Results Matrix'!$R$201+'Equipment Results Matrix'!$T$207+'Equipment Results Matrix'!$R$203+'Equipment Results Matrix'!$R$205+'Equipment Results Matrix'!$R$209)*(1+'Equipment Results Matrix'!$T$209))+$AD$6</f>
        <v>3042.3246800516736</v>
      </c>
      <c r="C22" s="3">
        <f>((A22*'Equipment Results Matrix'!$R$200)+'Equipment Results Matrix'!$R$201+'Equipment Results Matrix'!$T$207+'Equipment Results Matrix'!$R$203+'Equipment Results Matrix'!$R$206+'Equipment Results Matrix'!$R$209)*(1+'Equipment Results Matrix'!$T$209)+$AD$6</f>
        <v>2116.212680051673</v>
      </c>
      <c r="D22" s="3">
        <f>((A22*'Equipment Results Matrix'!$R$200)+'Equipment Results Matrix'!$R$201+'Equipment Results Matrix'!$T$207+'Equipment Results Matrix'!$R$203+'Equipment Results Matrix'!$R$207+'Equipment Results Matrix'!$R$209)*(1+'Equipment Results Matrix'!$T$209)+$AD$6</f>
        <v>1817.9046800516733</v>
      </c>
      <c r="E22" s="3">
        <f>((A22*'Equipment Results Matrix'!$R$200)+'Equipment Results Matrix'!$R$201+'Equipment Results Matrix'!$T$207+'Equipment Results Matrix'!$R$203+'Equipment Results Matrix'!$R$205+'Equipment Results Matrix'!$R$208)*(1+'Equipment Results Matrix'!$T$209)+$AD$6</f>
        <v>3179.6766800516734</v>
      </c>
      <c r="F22" s="3">
        <f>((A22*'Equipment Results Matrix'!$R$200)+'Equipment Results Matrix'!$R$201+'Equipment Results Matrix'!$T$207+'Equipment Results Matrix'!$R$203+'Equipment Results Matrix'!$R$206+'Equipment Results Matrix'!$R$208)*(1+'Equipment Results Matrix'!$T$209)+$AD$6</f>
        <v>2253.5646800516733</v>
      </c>
      <c r="G22" s="3">
        <f>((A22*'Equipment Results Matrix'!$R$200)+'Equipment Results Matrix'!$R$201+'Equipment Results Matrix'!$T$207+'Equipment Results Matrix'!$R$203+'Equipment Results Matrix'!$R$207+'Equipment Results Matrix'!$R$208)*(1+'Equipment Results Matrix'!$T$209)+$AD$6</f>
        <v>1955.2566800516734</v>
      </c>
      <c r="H22" s="117">
        <f t="shared" si="2"/>
        <v>2394.1566800516734</v>
      </c>
      <c r="I22" s="117">
        <f>H22*Inflation!$D$3</f>
        <v>2581.3643291961589</v>
      </c>
      <c r="Q22" s="112"/>
      <c r="S22" s="16" t="s">
        <v>55</v>
      </c>
      <c r="T22" s="2040" t="s">
        <v>120</v>
      </c>
      <c r="U22" s="2043" t="s">
        <v>421</v>
      </c>
      <c r="V22" s="2044"/>
      <c r="W22" s="2044"/>
      <c r="X22" s="2044"/>
      <c r="Y22" s="2044"/>
      <c r="Z22" s="2044"/>
      <c r="AA22" s="2044"/>
      <c r="AB22" s="2044"/>
      <c r="AC22" s="2044"/>
      <c r="AD22" s="2044"/>
      <c r="AE22" s="2044"/>
      <c r="AF22" s="2045"/>
    </row>
    <row r="23" spans="1:32" ht="30" customHeight="1">
      <c r="A23" s="121">
        <v>10</v>
      </c>
      <c r="B23" s="3">
        <f>(((A23*'Equipment Results Matrix'!$R$200)+'Equipment Results Matrix'!$R$201+'Equipment Results Matrix'!$T$207+'Equipment Results Matrix'!$R$203+'Equipment Results Matrix'!$R$205+'Equipment Results Matrix'!$R$209)*(1+'Equipment Results Matrix'!$T$209))+$AD$6</f>
        <v>3186.2346800516734</v>
      </c>
      <c r="C23" s="3">
        <f>((A23*'Equipment Results Matrix'!$R$200)+'Equipment Results Matrix'!$R$201+'Equipment Results Matrix'!$T$207+'Equipment Results Matrix'!$R$203+'Equipment Results Matrix'!$R$206+'Equipment Results Matrix'!$R$209)*(1+'Equipment Results Matrix'!$T$209)+$AD$6</f>
        <v>2260.1226800516733</v>
      </c>
      <c r="D23" s="3">
        <f>((A23*'Equipment Results Matrix'!$R$200)+'Equipment Results Matrix'!$R$201+'Equipment Results Matrix'!$T$207+'Equipment Results Matrix'!$R$203+'Equipment Results Matrix'!$R$207+'Equipment Results Matrix'!$R$209)*(1+'Equipment Results Matrix'!$T$209)+$AD$6</f>
        <v>1961.8146800516731</v>
      </c>
      <c r="E23" s="3">
        <f>((A23*'Equipment Results Matrix'!$R$200)+'Equipment Results Matrix'!$R$201+'Equipment Results Matrix'!$T$207+'Equipment Results Matrix'!$R$203+'Equipment Results Matrix'!$R$205+'Equipment Results Matrix'!$R$208)*(1+'Equipment Results Matrix'!$T$209)+$AD$6</f>
        <v>3323.5866800516733</v>
      </c>
      <c r="F23" s="3">
        <f>((A23*'Equipment Results Matrix'!$R$200)+'Equipment Results Matrix'!$R$201+'Equipment Results Matrix'!$T$207+'Equipment Results Matrix'!$R$203+'Equipment Results Matrix'!$R$206+'Equipment Results Matrix'!$R$208)*(1+'Equipment Results Matrix'!$T$209)+$AD$6</f>
        <v>2397.4746800516732</v>
      </c>
      <c r="G23" s="3">
        <f>((A23*'Equipment Results Matrix'!$R$200)+'Equipment Results Matrix'!$R$201+'Equipment Results Matrix'!$T$207+'Equipment Results Matrix'!$R$203+'Equipment Results Matrix'!$R$207+'Equipment Results Matrix'!$R$208)*(1+'Equipment Results Matrix'!$T$209)+$AD$6</f>
        <v>2099.1666800516732</v>
      </c>
      <c r="H23" s="117">
        <f t="shared" si="2"/>
        <v>2538.0666800516733</v>
      </c>
      <c r="I23" s="117">
        <f>H23*Inflation!$D$3</f>
        <v>2736.5271653254135</v>
      </c>
      <c r="Q23" s="112"/>
      <c r="S23" s="2036" t="s">
        <v>50</v>
      </c>
      <c r="T23" s="2041"/>
      <c r="U23" s="109" t="s">
        <v>315</v>
      </c>
      <c r="V23" s="110"/>
      <c r="W23" s="110"/>
      <c r="X23" s="110"/>
      <c r="Y23" s="110"/>
      <c r="Z23" s="110"/>
      <c r="AA23" s="110"/>
      <c r="AB23" s="110"/>
      <c r="AC23" s="110"/>
      <c r="AD23" s="110"/>
      <c r="AE23" s="110"/>
      <c r="AF23" s="111"/>
    </row>
    <row r="24" spans="1:32" ht="57.6">
      <c r="Q24" s="112"/>
      <c r="S24" s="2036"/>
      <c r="T24" s="2042"/>
      <c r="U24" s="101" t="s">
        <v>127</v>
      </c>
      <c r="V24" s="101" t="s">
        <v>128</v>
      </c>
      <c r="W24" s="101" t="s">
        <v>129</v>
      </c>
      <c r="X24" s="101" t="s">
        <v>130</v>
      </c>
      <c r="Y24" s="101" t="s">
        <v>131</v>
      </c>
      <c r="Z24" s="101" t="s">
        <v>132</v>
      </c>
      <c r="AA24" s="101" t="s">
        <v>133</v>
      </c>
      <c r="AB24" s="101" t="s">
        <v>134</v>
      </c>
      <c r="AC24" s="101" t="s">
        <v>135</v>
      </c>
      <c r="AD24" s="101" t="s">
        <v>136</v>
      </c>
      <c r="AE24" s="101" t="s">
        <v>137</v>
      </c>
      <c r="AF24" s="101" t="s">
        <v>138</v>
      </c>
    </row>
    <row r="25" spans="1:32" ht="21">
      <c r="A25" s="2051" t="s">
        <v>465</v>
      </c>
      <c r="B25" s="2052"/>
      <c r="C25" s="2052"/>
      <c r="D25" s="2052"/>
      <c r="E25" s="2052"/>
      <c r="F25" s="2052"/>
      <c r="G25" s="2052"/>
      <c r="H25" s="2052"/>
      <c r="I25" s="2053"/>
      <c r="Q25" s="112"/>
      <c r="S25" s="102">
        <v>5</v>
      </c>
      <c r="T25" s="14">
        <v>2125</v>
      </c>
      <c r="U25" s="3">
        <f>(((5*'Equipment Results Matrix'!$R$200)+'Equipment Results Matrix'!$R$201+'Equipment Results Matrix'!$T$207+'Equipment Results Matrix'!$R$203+'Equipment Results Matrix'!$R$205+'Equipment Results Matrix'!$R$209)*(1+'Equipment Results Matrix'!$T$209))+$AD$3</f>
        <v>2841.157407847541</v>
      </c>
      <c r="V25" s="3">
        <f>((5*'Equipment Results Matrix'!$R$200)+'Equipment Results Matrix'!$R$201+'Equipment Results Matrix'!$T$207+'Equipment Results Matrix'!$R$203+'Equipment Results Matrix'!$R$206+'Equipment Results Matrix'!$R$209)*(1+'Equipment Results Matrix'!$T$209)+$AD$3</f>
        <v>1915.0454078475411</v>
      </c>
      <c r="W25" s="3">
        <f>((5*'Equipment Results Matrix'!$R$200)+'Equipment Results Matrix'!$R$201+'Equipment Results Matrix'!$T$207+'Equipment Results Matrix'!$R$203+'Equipment Results Matrix'!$R$207+'Equipment Results Matrix'!$R$209)*(1+'Equipment Results Matrix'!$T$209)+$AD$3</f>
        <v>1616.7374078475411</v>
      </c>
      <c r="X25" s="3">
        <f>((5*'Equipment Results Matrix'!$R$200)+'Equipment Results Matrix'!$R$201+'Equipment Results Matrix'!$T$207+'Equipment Results Matrix'!$R$204+'Equipment Results Matrix'!$R$205+'Equipment Results Matrix'!$R$209)*(1+'Equipment Results Matrix'!$T$209)+$AD$3</f>
        <v>2500.9094078475409</v>
      </c>
      <c r="Y25" s="3">
        <f>((5*'Equipment Results Matrix'!$R$200)+'Equipment Results Matrix'!$R$201+'Equipment Results Matrix'!$T$207+'Equipment Results Matrix'!$R$204+'Equipment Results Matrix'!$R$206+'Equipment Results Matrix'!$R$209)*(1+'Equipment Results Matrix'!$T$209)+$AD$3</f>
        <v>1574.7974078475411</v>
      </c>
      <c r="Z25" s="3">
        <f>((5*'Equipment Results Matrix'!$R$200)+'Equipment Results Matrix'!$R$201+'Equipment Results Matrix'!$T$207+'Equipment Results Matrix'!$R$204+'Equipment Results Matrix'!$R$207+'Equipment Results Matrix'!$R$209)*(1+'Equipment Results Matrix'!$T$209)+$AD$3</f>
        <v>1276.4894078475413</v>
      </c>
      <c r="AA25" s="3">
        <f>((5*'Equipment Results Matrix'!$R$200)+'Equipment Results Matrix'!$R$201+'Equipment Results Matrix'!$T$207+'Equipment Results Matrix'!$R$203+'Equipment Results Matrix'!$R$205+'Equipment Results Matrix'!$R$208)*(1+'Equipment Results Matrix'!$T$209)+$AD$3</f>
        <v>2978.5094078475413</v>
      </c>
      <c r="AB25" s="3">
        <f>((5*'Equipment Results Matrix'!$R$200)+'Equipment Results Matrix'!$R$201+'Equipment Results Matrix'!$T$207+'Equipment Results Matrix'!$R$203+'Equipment Results Matrix'!$R$206+'Equipment Results Matrix'!$R$208)*(1+'Equipment Results Matrix'!$T$209)+$AD$3</f>
        <v>2052.3974078475412</v>
      </c>
      <c r="AC25" s="3">
        <f>((5*'Equipment Results Matrix'!$R$200)+'Equipment Results Matrix'!$R$201+'Equipment Results Matrix'!$T$207+'Equipment Results Matrix'!$R$203+'Equipment Results Matrix'!$R$207+'Equipment Results Matrix'!$R$208)*(1+'Equipment Results Matrix'!$T$209)+$AD$3</f>
        <v>1754.0894078475412</v>
      </c>
      <c r="AD25" s="3">
        <f>((5*'Equipment Results Matrix'!$R$200)+'Equipment Results Matrix'!$R$201+'Equipment Results Matrix'!$T$207+'Equipment Results Matrix'!$R$204+'Equipment Results Matrix'!$R$205+'Equipment Results Matrix'!$R$208)*(1+'Equipment Results Matrix'!$T$209)+$AD$3</f>
        <v>2638.2614078475412</v>
      </c>
      <c r="AE25" s="3">
        <f>((5*'Equipment Results Matrix'!$R$200)+'Equipment Results Matrix'!$R$201+'Equipment Results Matrix'!$T$207+'Equipment Results Matrix'!$R$204+'Equipment Results Matrix'!$R$206+'Equipment Results Matrix'!$R$208)*(1+'Equipment Results Matrix'!$T$209)+$AD$3</f>
        <v>1712.1494078475412</v>
      </c>
      <c r="AF25" s="3">
        <f>((5*'Equipment Results Matrix'!$R$200)+'Equipment Results Matrix'!$R$201+'Equipment Results Matrix'!$T$207+'Equipment Results Matrix'!$R$204+'Equipment Results Matrix'!$R$207+'Equipment Results Matrix'!$R$208)*(1+'Equipment Results Matrix'!$T$209)+$AD$3</f>
        <v>1413.8414078475412</v>
      </c>
    </row>
    <row r="26" spans="1:32">
      <c r="A26" s="2036" t="s">
        <v>50</v>
      </c>
      <c r="B26" s="2046" t="s">
        <v>420</v>
      </c>
      <c r="C26" s="2047"/>
      <c r="D26" s="2047"/>
      <c r="E26" s="2047"/>
      <c r="F26" s="2047"/>
      <c r="G26" s="2047"/>
      <c r="H26" s="2047"/>
      <c r="I26" s="2048"/>
      <c r="Q26" s="112"/>
    </row>
    <row r="27" spans="1:32" ht="46.5" customHeight="1">
      <c r="A27" s="2036"/>
      <c r="B27" s="115" t="s">
        <v>130</v>
      </c>
      <c r="C27" s="115" t="s">
        <v>131</v>
      </c>
      <c r="D27" s="115" t="s">
        <v>132</v>
      </c>
      <c r="E27" s="115" t="s">
        <v>136</v>
      </c>
      <c r="F27" s="115" t="s">
        <v>137</v>
      </c>
      <c r="G27" s="115" t="s">
        <v>138</v>
      </c>
      <c r="H27" s="150" t="s">
        <v>404</v>
      </c>
      <c r="I27" s="150" t="s">
        <v>405</v>
      </c>
      <c r="Q27" s="112"/>
      <c r="S27" s="16" t="s">
        <v>55</v>
      </c>
      <c r="T27" s="2040" t="s">
        <v>119</v>
      </c>
      <c r="U27" s="2043" t="s">
        <v>422</v>
      </c>
      <c r="V27" s="2044"/>
      <c r="W27" s="2044"/>
      <c r="X27" s="2044"/>
      <c r="Y27" s="2044"/>
      <c r="Z27" s="2044"/>
      <c r="AA27" s="2044"/>
      <c r="AB27" s="2044"/>
      <c r="AC27" s="2044"/>
      <c r="AD27" s="2044"/>
      <c r="AE27" s="2044"/>
      <c r="AF27" s="2045"/>
    </row>
    <row r="28" spans="1:32" ht="30" customHeight="1">
      <c r="A28" s="151">
        <v>2</v>
      </c>
      <c r="B28" s="3">
        <f>((A18*'Equipment Results Matrix'!$R$200)+'Equipment Results Matrix'!$R$201+'Equipment Results Matrix'!$T$207+'Equipment Results Matrix'!$R$204+'Equipment Results Matrix'!$R$205+'Equipment Results Matrix'!$R$209)*(1+'Equipment Results Matrix'!$T$209)+$AD$3</f>
        <v>2328.2174078475414</v>
      </c>
      <c r="C28" s="3">
        <f>((A18*'Equipment Results Matrix'!$R$200)+'Equipment Results Matrix'!$R$201+'Equipment Results Matrix'!$T$207+'Equipment Results Matrix'!$R$204+'Equipment Results Matrix'!$R$206+'Equipment Results Matrix'!$R$209)*(1+'Equipment Results Matrix'!$T$209)+$AD$3</f>
        <v>1402.1054078475413</v>
      </c>
      <c r="D28" s="3">
        <f>((A18*'Equipment Results Matrix'!$R$200)+'Equipment Results Matrix'!$R$201+'Equipment Results Matrix'!$T$207+'Equipment Results Matrix'!$R$204+'Equipment Results Matrix'!$R$207+'Equipment Results Matrix'!$R$209)*(1+'Equipment Results Matrix'!$T$209)+$AD$3</f>
        <v>1103.7974078475413</v>
      </c>
      <c r="E28" s="3">
        <f>((A18*'Equipment Results Matrix'!$R$200)+'Equipment Results Matrix'!$R$201+'Equipment Results Matrix'!$T$207+'Equipment Results Matrix'!$R$204+'Equipment Results Matrix'!$R$205+'Equipment Results Matrix'!$R$208)*(1+'Equipment Results Matrix'!$T$209)+$AD$3</f>
        <v>2465.5694078475412</v>
      </c>
      <c r="F28" s="3">
        <f>((A18*'Equipment Results Matrix'!$R$200)+'Equipment Results Matrix'!$R$201+'Equipment Results Matrix'!$T$207+'Equipment Results Matrix'!$R$204+'Equipment Results Matrix'!$R$206+'Equipment Results Matrix'!$R$208)*(1+'Equipment Results Matrix'!$T$209)+$AD$3</f>
        <v>1539.4574078475412</v>
      </c>
      <c r="G28" s="3">
        <f>((A18*'Equipment Results Matrix'!$R$200)+'Equipment Results Matrix'!$R$201+'Equipment Results Matrix'!$T$207+'Equipment Results Matrix'!$R$204+'Equipment Results Matrix'!$R$207+'Equipment Results Matrix'!$R$208)*(1+'Equipment Results Matrix'!$T$209)+$AD$3</f>
        <v>1241.1494078475412</v>
      </c>
      <c r="H28" s="117">
        <f t="shared" ref="H28:H33" si="3">AVERAGE(B28:G28)</f>
        <v>1680.0494078475413</v>
      </c>
      <c r="I28" s="117">
        <f>H28*Inflation!$D$3</f>
        <v>1811.4184626426245</v>
      </c>
      <c r="Q28" s="112"/>
      <c r="S28" s="2036" t="s">
        <v>50</v>
      </c>
      <c r="T28" s="2041"/>
      <c r="U28" s="109" t="s">
        <v>53</v>
      </c>
      <c r="V28" s="110"/>
      <c r="W28" s="110"/>
      <c r="X28" s="110"/>
      <c r="Y28" s="110"/>
      <c r="Z28" s="110"/>
      <c r="AA28" s="110"/>
      <c r="AB28" s="110"/>
      <c r="AC28" s="110"/>
      <c r="AD28" s="110"/>
      <c r="AE28" s="110"/>
      <c r="AF28" s="111"/>
    </row>
    <row r="29" spans="1:32" ht="57.6">
      <c r="A29" s="149">
        <v>3</v>
      </c>
      <c r="B29" s="3">
        <f>((A19*'Equipment Results Matrix'!$R$200)+'Equipment Results Matrix'!$R$201+'Equipment Results Matrix'!$T$207+'Equipment Results Matrix'!$R$204+'Equipment Results Matrix'!$R$205+'Equipment Results Matrix'!$R$209)*(1+'Equipment Results Matrix'!$T$209)+$AD$4</f>
        <v>2404.8671652489184</v>
      </c>
      <c r="C29" s="3">
        <f>((A19*'Equipment Results Matrix'!$R$200)+'Equipment Results Matrix'!$R$201+'Equipment Results Matrix'!$T$207+'Equipment Results Matrix'!$R$204+'Equipment Results Matrix'!$R$206+'Equipment Results Matrix'!$R$209)*(1+'Equipment Results Matrix'!$T$209)+$AD$4</f>
        <v>1478.7551652489187</v>
      </c>
      <c r="D29" s="3">
        <f>((A19*'Equipment Results Matrix'!$R$200)+'Equipment Results Matrix'!$R$201+'Equipment Results Matrix'!$T$207+'Equipment Results Matrix'!$R$204+'Equipment Results Matrix'!$R$207+'Equipment Results Matrix'!$R$209)*(1+'Equipment Results Matrix'!$T$209)+$AD$4</f>
        <v>1180.4471652489187</v>
      </c>
      <c r="E29" s="3">
        <f>((A19*'Equipment Results Matrix'!$R$200)+'Equipment Results Matrix'!$R$201+'Equipment Results Matrix'!$T$207+'Equipment Results Matrix'!$R$204+'Equipment Results Matrix'!$R$205+'Equipment Results Matrix'!$R$208)*(1+'Equipment Results Matrix'!$T$209)+$AD$4</f>
        <v>2542.2191652489182</v>
      </c>
      <c r="F29" s="3">
        <f>((A19*'Equipment Results Matrix'!$R$200)+'Equipment Results Matrix'!$R$201+'Equipment Results Matrix'!$T$207+'Equipment Results Matrix'!$R$204+'Equipment Results Matrix'!$R$206+'Equipment Results Matrix'!$R$208)*(1+'Equipment Results Matrix'!$T$209)+$AD$4</f>
        <v>1616.1071652489186</v>
      </c>
      <c r="G29" s="3">
        <f>((A19*'Equipment Results Matrix'!$R$200)+'Equipment Results Matrix'!$R$201+'Equipment Results Matrix'!$T$207+'Equipment Results Matrix'!$R$204+'Equipment Results Matrix'!$R$207+'Equipment Results Matrix'!$R$208)*(1+'Equipment Results Matrix'!$T$209)+$AD$4</f>
        <v>1317.7991652489186</v>
      </c>
      <c r="H29" s="117">
        <f t="shared" si="3"/>
        <v>1756.6991652489185</v>
      </c>
      <c r="I29" s="117">
        <f>H29*Inflation!$D$3</f>
        <v>1894.0617379328548</v>
      </c>
      <c r="Q29" s="112"/>
      <c r="S29" s="2036"/>
      <c r="T29" s="2042"/>
      <c r="U29" s="101" t="s">
        <v>127</v>
      </c>
      <c r="V29" s="101" t="s">
        <v>128</v>
      </c>
      <c r="W29" s="101" t="s">
        <v>129</v>
      </c>
      <c r="X29" s="101" t="s">
        <v>130</v>
      </c>
      <c r="Y29" s="101" t="s">
        <v>131</v>
      </c>
      <c r="Z29" s="101" t="s">
        <v>132</v>
      </c>
      <c r="AA29" s="101" t="s">
        <v>133</v>
      </c>
      <c r="AB29" s="101" t="s">
        <v>134</v>
      </c>
      <c r="AC29" s="101" t="s">
        <v>135</v>
      </c>
      <c r="AD29" s="101" t="s">
        <v>136</v>
      </c>
      <c r="AE29" s="101" t="s">
        <v>137</v>
      </c>
      <c r="AF29" s="101" t="s">
        <v>138</v>
      </c>
    </row>
    <row r="30" spans="1:32">
      <c r="A30" s="149">
        <v>4</v>
      </c>
      <c r="B30" s="3">
        <f>((A20*'Equipment Results Matrix'!$R$200)+'Equipment Results Matrix'!$R$201+'Equipment Results Matrix'!$T$207+'Equipment Results Matrix'!$R$204+'Equipment Results Matrix'!$R$205+'Equipment Results Matrix'!$R$209)*(1+'Equipment Results Matrix'!$T$209)+$AD$5</f>
        <v>2481.5169226502962</v>
      </c>
      <c r="C30" s="3">
        <f>((A20*'Equipment Results Matrix'!$R$200)+'Equipment Results Matrix'!$R$201+'Equipment Results Matrix'!$T$207+'Equipment Results Matrix'!$R$204+'Equipment Results Matrix'!$R$206+'Equipment Results Matrix'!$R$209)*(1+'Equipment Results Matrix'!$T$209)+$AD$5</f>
        <v>1555.4049226502962</v>
      </c>
      <c r="D30" s="3">
        <f>((A20*'Equipment Results Matrix'!$R$200)+'Equipment Results Matrix'!$R$201+'Equipment Results Matrix'!$T$207+'Equipment Results Matrix'!$R$204+'Equipment Results Matrix'!$R$207+'Equipment Results Matrix'!$R$209)*(1+'Equipment Results Matrix'!$T$209)+$AD$5</f>
        <v>1257.0969226502962</v>
      </c>
      <c r="E30" s="3">
        <f>((A20*'Equipment Results Matrix'!$R$200)+'Equipment Results Matrix'!$R$201+'Equipment Results Matrix'!$T$207+'Equipment Results Matrix'!$R$204+'Equipment Results Matrix'!$R$205+'Equipment Results Matrix'!$R$208)*(1+'Equipment Results Matrix'!$T$209)+$AD$5</f>
        <v>2618.8689226502961</v>
      </c>
      <c r="F30" s="3">
        <f>((A20*'Equipment Results Matrix'!$R$200)+'Equipment Results Matrix'!$R$201+'Equipment Results Matrix'!$T$207+'Equipment Results Matrix'!$R$204+'Equipment Results Matrix'!$R$206+'Equipment Results Matrix'!$R$208)*(1+'Equipment Results Matrix'!$T$209)+$AD$5</f>
        <v>1692.756922650296</v>
      </c>
      <c r="G30" s="3">
        <f>((A20*'Equipment Results Matrix'!$R$200)+'Equipment Results Matrix'!$R$201+'Equipment Results Matrix'!$T$207+'Equipment Results Matrix'!$R$204+'Equipment Results Matrix'!$R$207+'Equipment Results Matrix'!$R$208)*(1+'Equipment Results Matrix'!$T$209)+$AD$5</f>
        <v>1394.448922650296</v>
      </c>
      <c r="H30" s="117">
        <f t="shared" si="3"/>
        <v>1833.3489226502961</v>
      </c>
      <c r="I30" s="117">
        <f>H30*Inflation!$D$3</f>
        <v>1976.7050132230856</v>
      </c>
      <c r="Q30" s="112"/>
      <c r="S30" s="102">
        <v>5</v>
      </c>
      <c r="T30" s="34">
        <f>T25*Inflation!$D$3</f>
        <v>2291.1613284321247</v>
      </c>
      <c r="U30" s="3">
        <f>[5]VFD_Calculations!C25*Inflation!$D$3</f>
        <v>3267.6420708922456</v>
      </c>
      <c r="V30" s="3">
        <f>[5]VFD_Calculations!D25*[5]Inflation!$D$3</f>
        <v>2226.8047799799529</v>
      </c>
      <c r="W30" s="3">
        <f>[5]VFD_Calculations!E25*[5]Inflation!$D$3</f>
        <v>1911.1681103213807</v>
      </c>
      <c r="X30" s="3">
        <f>[5]VFD_Calculations!F25*[5]Inflation!$D$3</f>
        <v>2846.7015371331286</v>
      </c>
      <c r="Y30" s="3">
        <f>[5]VFD_Calculations!G25*[5]Inflation!$D$3</f>
        <v>1866.7918216349208</v>
      </c>
      <c r="Z30" s="3">
        <f>[5]VFD_Calculations!H25*[5]Inflation!$D$3</f>
        <v>1551.1551519763489</v>
      </c>
      <c r="AA30" s="3">
        <f>[5]VFD_Calculations!I25*[5]Inflation!$D$3</f>
        <v>3352.0452537915285</v>
      </c>
      <c r="AB30" s="3">
        <f>[5]VFD_Calculations!J25*[5]Inflation!$D$3</f>
        <v>2372.1355382933207</v>
      </c>
      <c r="AC30" s="3">
        <f>[5]VFD_Calculations!K25*[5]Inflation!$D$3</f>
        <v>2056.4988686347488</v>
      </c>
      <c r="AD30" s="3">
        <f>[5]VFD_Calculations!L25*[5]Inflation!$D$3</f>
        <v>2992.0322954464968</v>
      </c>
      <c r="AE30" s="3">
        <f>[5]VFD_Calculations!M25*[5]Inflation!$D$3</f>
        <v>2012.1225799482888</v>
      </c>
      <c r="AF30" s="3">
        <f>[5]VFD_Calculations!N25*[5]Inflation!$D$3</f>
        <v>1696.4859102897169</v>
      </c>
    </row>
    <row r="31" spans="1:32">
      <c r="A31" s="149">
        <v>5</v>
      </c>
      <c r="B31" s="3">
        <f>((A21*'Equipment Results Matrix'!$R$200)+'Equipment Results Matrix'!$R$201+'Equipment Results Matrix'!$T$207+'Equipment Results Matrix'!$R$204+'Equipment Results Matrix'!$R$205+'Equipment Results Matrix'!$R$209)*(1+'Equipment Results Matrix'!$T$209)+$AD$6</f>
        <v>2558.1666800516732</v>
      </c>
      <c r="C31" s="3">
        <f>((A21*'Equipment Results Matrix'!$R$200)+'Equipment Results Matrix'!$R$201+'Equipment Results Matrix'!$T$207+'Equipment Results Matrix'!$R$204+'Equipment Results Matrix'!$R$206+'Equipment Results Matrix'!$R$209)*(1+'Equipment Results Matrix'!$T$209)+$AD$6</f>
        <v>1632.0546800516731</v>
      </c>
      <c r="D31" s="3">
        <f>((A21*'Equipment Results Matrix'!$R$200)+'Equipment Results Matrix'!$R$201+'Equipment Results Matrix'!$T$207+'Equipment Results Matrix'!$R$204+'Equipment Results Matrix'!$R$207+'Equipment Results Matrix'!$R$209)*(1+'Equipment Results Matrix'!$T$209)+$AD$6</f>
        <v>1333.7466800516731</v>
      </c>
      <c r="E31" s="3">
        <f>((A21*'Equipment Results Matrix'!$R$200)+'Equipment Results Matrix'!$R$201+'Equipment Results Matrix'!$T$207+'Equipment Results Matrix'!$R$204+'Equipment Results Matrix'!$R$205+'Equipment Results Matrix'!$R$208)*(1+'Equipment Results Matrix'!$T$209)+$AD$6</f>
        <v>2695.5186800516731</v>
      </c>
      <c r="F31" s="3">
        <f>((A21*'Equipment Results Matrix'!$R$200)+'Equipment Results Matrix'!$R$201+'Equipment Results Matrix'!$T$207+'Equipment Results Matrix'!$R$204+'Equipment Results Matrix'!$R$206+'Equipment Results Matrix'!$R$208)*(1+'Equipment Results Matrix'!$T$209)+$AD$6</f>
        <v>1769.4066800516732</v>
      </c>
      <c r="G31" s="3">
        <f>((A21*'Equipment Results Matrix'!$R$200)+'Equipment Results Matrix'!$R$201+'Equipment Results Matrix'!$T$207+'Equipment Results Matrix'!$R$204+'Equipment Results Matrix'!$R$207+'Equipment Results Matrix'!$R$208)*(1+'Equipment Results Matrix'!$T$209)+$AD$6</f>
        <v>1471.0986800516732</v>
      </c>
      <c r="H31" s="117">
        <f t="shared" si="3"/>
        <v>1909.9986800516733</v>
      </c>
      <c r="I31" s="117">
        <f>H31*Inflation!$D$3</f>
        <v>2059.3482885133158</v>
      </c>
    </row>
    <row r="32" spans="1:32">
      <c r="A32" s="121">
        <v>7.5</v>
      </c>
      <c r="B32" s="3">
        <f>((A22*'Equipment Results Matrix'!$R$200)+'Equipment Results Matrix'!$R$201+'Equipment Results Matrix'!$T$207+'Equipment Results Matrix'!$R$204+'Equipment Results Matrix'!$R$205+'Equipment Results Matrix'!$R$209)*(1+'Equipment Results Matrix'!$T$209)+$AD$6</f>
        <v>2702.0766800516731</v>
      </c>
      <c r="C32" s="3">
        <f>((A22*'Equipment Results Matrix'!$R$200)+'Equipment Results Matrix'!$R$201+'Equipment Results Matrix'!$T$207+'Equipment Results Matrix'!$R$204+'Equipment Results Matrix'!$R$206+'Equipment Results Matrix'!$R$209)*(1+'Equipment Results Matrix'!$T$209)+$AD$6</f>
        <v>1775.9646800516732</v>
      </c>
      <c r="D32" s="3">
        <f>((A22*'Equipment Results Matrix'!$R$200)+'Equipment Results Matrix'!$R$201+'Equipment Results Matrix'!$T$207+'Equipment Results Matrix'!$R$204+'Equipment Results Matrix'!$R$207+'Equipment Results Matrix'!$R$209)*(1+'Equipment Results Matrix'!$T$209)+$AD$6</f>
        <v>1477.6566800516734</v>
      </c>
      <c r="E32" s="3">
        <f>((A22*'Equipment Results Matrix'!$R$200)+'Equipment Results Matrix'!$R$201+'Equipment Results Matrix'!$T$207+'Equipment Results Matrix'!$R$204+'Equipment Results Matrix'!$R$205+'Equipment Results Matrix'!$R$208)*(1+'Equipment Results Matrix'!$T$209)+$AD$6</f>
        <v>2839.4286800516738</v>
      </c>
      <c r="F32" s="3">
        <f>((A22*'Equipment Results Matrix'!$R$200)+'Equipment Results Matrix'!$R$201+'Equipment Results Matrix'!$T$207+'Equipment Results Matrix'!$R$204+'Equipment Results Matrix'!$R$206+'Equipment Results Matrix'!$R$208)*(1+'Equipment Results Matrix'!$T$209)+$AD$6</f>
        <v>1913.3166800516733</v>
      </c>
      <c r="G32" s="3">
        <f>((A22*'Equipment Results Matrix'!$R$200)+'Equipment Results Matrix'!$R$201+'Equipment Results Matrix'!$T$207+'Equipment Results Matrix'!$R$204+'Equipment Results Matrix'!$R$207+'Equipment Results Matrix'!$R$208)*(1+'Equipment Results Matrix'!$T$209)+$AD$6</f>
        <v>1615.0086800516733</v>
      </c>
      <c r="H32" s="117">
        <f t="shared" si="3"/>
        <v>2053.9086800516729</v>
      </c>
      <c r="I32" s="117">
        <f>H32*Inflation!$D$3</f>
        <v>2214.5111246425708</v>
      </c>
    </row>
    <row r="33" spans="1:19">
      <c r="A33" s="121">
        <v>10</v>
      </c>
      <c r="B33" s="3">
        <f>((A23*'Equipment Results Matrix'!$R$200)+'Equipment Results Matrix'!$R$201+'Equipment Results Matrix'!$T$207+'Equipment Results Matrix'!$R$204+'Equipment Results Matrix'!$R$205+'Equipment Results Matrix'!$R$209)*(1+'Equipment Results Matrix'!$T$209)+$AD$6</f>
        <v>2845.9866800516729</v>
      </c>
      <c r="C33" s="3">
        <f>((A23*'Equipment Results Matrix'!$R$200)+'Equipment Results Matrix'!$R$201+'Equipment Results Matrix'!$T$207+'Equipment Results Matrix'!$R$204+'Equipment Results Matrix'!$R$206+'Equipment Results Matrix'!$R$209)*(1+'Equipment Results Matrix'!$T$209)+$AD$6</f>
        <v>1919.8746800516731</v>
      </c>
      <c r="D33" s="3">
        <f>((A23*'Equipment Results Matrix'!$R$200)+'Equipment Results Matrix'!$R$201+'Equipment Results Matrix'!$T$207+'Equipment Results Matrix'!$R$204+'Equipment Results Matrix'!$R$207+'Equipment Results Matrix'!$R$209)*(1+'Equipment Results Matrix'!$T$209)+$AD$6</f>
        <v>1621.5666800516733</v>
      </c>
      <c r="E33" s="3">
        <f>((A23*'Equipment Results Matrix'!$R$200)+'Equipment Results Matrix'!$R$201+'Equipment Results Matrix'!$T$207+'Equipment Results Matrix'!$R$204+'Equipment Results Matrix'!$R$205+'Equipment Results Matrix'!$R$208)*(1+'Equipment Results Matrix'!$T$209)+$AD$6</f>
        <v>2983.3386800516728</v>
      </c>
      <c r="F33" s="3">
        <f>((A23*'Equipment Results Matrix'!$R$200)+'Equipment Results Matrix'!$R$201+'Equipment Results Matrix'!$T$207+'Equipment Results Matrix'!$R$204+'Equipment Results Matrix'!$R$206+'Equipment Results Matrix'!$R$208)*(1+'Equipment Results Matrix'!$T$209)+$AD$6</f>
        <v>2057.2266800516732</v>
      </c>
      <c r="G33" s="3">
        <f>((A23*'Equipment Results Matrix'!$R$200)+'Equipment Results Matrix'!$R$201+'Equipment Results Matrix'!$T$207+'Equipment Results Matrix'!$R$204+'Equipment Results Matrix'!$R$207+'Equipment Results Matrix'!$R$208)*(1+'Equipment Results Matrix'!$T$209)+$AD$6</f>
        <v>1758.9186800516732</v>
      </c>
      <c r="H33" s="117">
        <f t="shared" si="3"/>
        <v>2197.8186800516728</v>
      </c>
      <c r="I33" s="117">
        <f>H33*Inflation!$D$3</f>
        <v>2369.6739607718255</v>
      </c>
      <c r="S33" s="4" t="s">
        <v>634</v>
      </c>
    </row>
  </sheetData>
  <mergeCells count="30">
    <mergeCell ref="B16:I16"/>
    <mergeCell ref="I2:M2"/>
    <mergeCell ref="H1:M1"/>
    <mergeCell ref="A26:A27"/>
    <mergeCell ref="A25:I25"/>
    <mergeCell ref="B26:I26"/>
    <mergeCell ref="A16:A17"/>
    <mergeCell ref="A2:A3"/>
    <mergeCell ref="H2:H3"/>
    <mergeCell ref="A1:F1"/>
    <mergeCell ref="B2:F2"/>
    <mergeCell ref="A15:I15"/>
    <mergeCell ref="S28:S29"/>
    <mergeCell ref="T27:T29"/>
    <mergeCell ref="U27:AF27"/>
    <mergeCell ref="S23:S24"/>
    <mergeCell ref="T13:T14"/>
    <mergeCell ref="T22:T24"/>
    <mergeCell ref="U22:AF22"/>
    <mergeCell ref="S13:S14"/>
    <mergeCell ref="U13:Z13"/>
    <mergeCell ref="U12:Z12"/>
    <mergeCell ref="U1:Z1"/>
    <mergeCell ref="AB9:AB14"/>
    <mergeCell ref="AB15:AB18"/>
    <mergeCell ref="S2:S3"/>
    <mergeCell ref="T2:T3"/>
    <mergeCell ref="AB1:AE1"/>
    <mergeCell ref="AB3:AB8"/>
    <mergeCell ref="U2:Z2"/>
  </mergeCells>
  <hyperlinks>
    <hyperlink ref="L16" location="'Master Summary'!A1" display="Return To Master Summary"/>
    <hyperlink ref="S33" location="'Master Summary'!A1" display="Return To Master Summary"/>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
  <sheetViews>
    <sheetView tabSelected="1" topLeftCell="B1" workbookViewId="0">
      <selection activeCell="H2" sqref="H2:I7"/>
    </sheetView>
  </sheetViews>
  <sheetFormatPr defaultColWidth="9.109375" defaultRowHeight="14.4"/>
  <cols>
    <col min="1" max="1" width="16.88671875" style="95" customWidth="1"/>
    <col min="2" max="2" width="24" style="95" customWidth="1"/>
    <col min="3" max="3" width="13.109375" style="95" customWidth="1"/>
    <col min="4" max="4" width="13" style="95" customWidth="1"/>
    <col min="5" max="5" width="17.109375" style="95" customWidth="1"/>
    <col min="6" max="6" width="25.33203125" style="95" customWidth="1"/>
    <col min="7" max="7" width="26" style="95" customWidth="1"/>
    <col min="8" max="8" width="24" style="95" customWidth="1"/>
    <col min="9" max="10" width="27.33203125" style="95" customWidth="1"/>
    <col min="11" max="11" width="29" style="95" customWidth="1"/>
    <col min="12" max="12" width="31.44140625" style="95" customWidth="1"/>
    <col min="13" max="14" width="30.6640625" style="95" customWidth="1"/>
    <col min="15" max="15" width="23" style="95" customWidth="1"/>
    <col min="16" max="16" width="25.33203125" style="95" customWidth="1"/>
    <col min="17" max="17" width="33.88671875" style="95" customWidth="1"/>
    <col min="18" max="18" width="9.109375" style="95"/>
    <col min="19" max="19" width="34.109375" style="95" customWidth="1"/>
    <col min="20" max="20" width="28.44140625" style="95" customWidth="1"/>
    <col min="21" max="21" width="26.88671875" style="95" customWidth="1"/>
    <col min="22" max="22" width="27.33203125" style="95" customWidth="1"/>
    <col min="23" max="23" width="20" style="95" customWidth="1"/>
    <col min="24" max="24" width="21.109375" style="95" customWidth="1"/>
    <col min="25" max="25" width="28.5546875" style="95" customWidth="1"/>
    <col min="26" max="26" width="29.6640625" style="95" customWidth="1"/>
    <col min="27" max="27" width="24.44140625" style="95" customWidth="1"/>
    <col min="28" max="28" width="27.5546875" style="95" customWidth="1"/>
    <col min="29" max="29" width="29.44140625" style="95" customWidth="1"/>
    <col min="30" max="30" width="29.6640625" style="95" customWidth="1"/>
    <col min="31" max="31" width="27.33203125" style="95" customWidth="1"/>
    <col min="32" max="32" width="26.88671875" style="95" customWidth="1"/>
    <col min="33" max="33" width="27.33203125" style="95" customWidth="1"/>
    <col min="34" max="34" width="25.5546875" style="95" customWidth="1"/>
    <col min="35" max="35" width="23.44140625" style="95" customWidth="1"/>
    <col min="36" max="36" width="24.6640625" style="95" customWidth="1"/>
    <col min="37" max="16384" width="9.109375" style="95"/>
  </cols>
  <sheetData>
    <row r="1" spans="1:36" ht="15" thickBot="1">
      <c r="A1" s="2513" t="s">
        <v>644</v>
      </c>
      <c r="B1" s="2514"/>
      <c r="C1" s="2517" t="s">
        <v>100</v>
      </c>
      <c r="D1" s="2518" t="s">
        <v>101</v>
      </c>
      <c r="F1" s="2513" t="s">
        <v>185</v>
      </c>
      <c r="G1" s="2514"/>
      <c r="H1" s="2517" t="s">
        <v>100</v>
      </c>
      <c r="I1" s="2518" t="s">
        <v>101</v>
      </c>
    </row>
    <row r="2" spans="1:36">
      <c r="A2" s="2519" t="s">
        <v>1789</v>
      </c>
      <c r="B2" s="2520" t="s">
        <v>1773</v>
      </c>
      <c r="C2" s="2521">
        <f>G17</f>
        <v>16.825584478996575</v>
      </c>
      <c r="D2" s="2522">
        <f>Z17</f>
        <v>16.825584478996575</v>
      </c>
      <c r="F2" s="1701" t="s">
        <v>1789</v>
      </c>
      <c r="G2" s="688" t="s">
        <v>1773</v>
      </c>
      <c r="H2" s="2531">
        <f>H17</f>
        <v>443.80512378253843</v>
      </c>
      <c r="I2" s="2532">
        <f>Q17</f>
        <v>348.48431037325355</v>
      </c>
    </row>
    <row r="3" spans="1:36" ht="28.8">
      <c r="A3" s="2523"/>
      <c r="B3" s="2524" t="s">
        <v>1774</v>
      </c>
      <c r="C3" s="2525">
        <f t="shared" ref="C3:C4" si="0">G18</f>
        <v>28.042640798327739</v>
      </c>
      <c r="D3" s="2526">
        <f>Z18</f>
        <v>28.042640798327739</v>
      </c>
      <c r="F3" s="1702"/>
      <c r="G3" s="665" t="s">
        <v>1774</v>
      </c>
      <c r="H3" s="2531">
        <f t="shared" ref="H3:H4" si="1">H18</f>
        <v>455.02218010186959</v>
      </c>
      <c r="I3" s="2532">
        <f t="shared" ref="I3:I4" si="2">Q18</f>
        <v>377.84978548879474</v>
      </c>
    </row>
    <row r="4" spans="1:36" ht="15" thickBot="1">
      <c r="A4" s="2527"/>
      <c r="B4" s="2528" t="s">
        <v>1775</v>
      </c>
      <c r="C4" s="2529">
        <f t="shared" si="0"/>
        <v>33.651168957993264</v>
      </c>
      <c r="D4" s="2530">
        <f>Z19</f>
        <v>33.651168957993264</v>
      </c>
      <c r="F4" s="2515"/>
      <c r="G4" s="2516" t="s">
        <v>1775</v>
      </c>
      <c r="H4" s="2531">
        <f t="shared" si="1"/>
        <v>460.63070826153518</v>
      </c>
      <c r="I4" s="2532" t="str">
        <f t="shared" si="2"/>
        <v>NA</v>
      </c>
    </row>
    <row r="5" spans="1:36">
      <c r="A5" s="2519" t="s">
        <v>1946</v>
      </c>
      <c r="B5" s="2520" t="s">
        <v>1773</v>
      </c>
      <c r="C5" s="2521">
        <f>Z17</f>
        <v>16.825584478996575</v>
      </c>
      <c r="D5" s="2522">
        <f>AI17</f>
        <v>20.555832580878814</v>
      </c>
      <c r="F5" s="1701" t="s">
        <v>1946</v>
      </c>
      <c r="G5" s="688" t="s">
        <v>1773</v>
      </c>
      <c r="H5" s="2531">
        <f>AA17</f>
        <v>443.80512378253843</v>
      </c>
      <c r="I5" s="2532">
        <f>AJ17</f>
        <v>353.62186976970838</v>
      </c>
    </row>
    <row r="6" spans="1:36" ht="28.8">
      <c r="A6" s="2523"/>
      <c r="B6" s="2524" t="s">
        <v>1774</v>
      </c>
      <c r="C6" s="2525">
        <f t="shared" ref="C6:C7" si="3">Z18</f>
        <v>28.042640798327739</v>
      </c>
      <c r="D6" s="2526">
        <f t="shared" ref="D6:D7" si="4">AI18</f>
        <v>49.921307696419944</v>
      </c>
      <c r="F6" s="1702"/>
      <c r="G6" s="665" t="s">
        <v>1774</v>
      </c>
      <c r="H6" s="2531">
        <f t="shared" ref="H6:H7" si="5">AA18</f>
        <v>455.02218010186959</v>
      </c>
      <c r="I6" s="2532">
        <f t="shared" ref="I6:I7" si="6">AJ18</f>
        <v>455.02218010186959</v>
      </c>
    </row>
    <row r="7" spans="1:36" ht="15" thickBot="1">
      <c r="A7" s="2527"/>
      <c r="B7" s="2528" t="s">
        <v>1775</v>
      </c>
      <c r="C7" s="2529">
        <f t="shared" si="3"/>
        <v>33.651168957993264</v>
      </c>
      <c r="D7" s="2530" t="str">
        <f t="shared" si="4"/>
        <v>NA</v>
      </c>
      <c r="F7" s="2515"/>
      <c r="G7" s="2516" t="s">
        <v>1775</v>
      </c>
      <c r="H7" s="2531">
        <f t="shared" si="5"/>
        <v>427.22450091526161</v>
      </c>
      <c r="I7" s="2532" t="str">
        <f t="shared" si="6"/>
        <v>NA</v>
      </c>
    </row>
    <row r="10" spans="1:36" ht="15" thickBot="1"/>
    <row r="11" spans="1:36" ht="18">
      <c r="A11" s="1843" t="s">
        <v>680</v>
      </c>
      <c r="B11" s="1844"/>
      <c r="C11" s="1844"/>
      <c r="D11" s="1844"/>
      <c r="E11" s="1844"/>
      <c r="F11" s="1844"/>
      <c r="G11" s="1844"/>
      <c r="H11" s="1845"/>
      <c r="J11" s="2093" t="s">
        <v>681</v>
      </c>
      <c r="K11" s="2094"/>
      <c r="L11" s="2094"/>
      <c r="M11" s="2094"/>
      <c r="N11" s="2094"/>
      <c r="O11" s="2094"/>
      <c r="P11" s="2094"/>
      <c r="Q11" s="2095"/>
      <c r="T11" s="1843" t="s">
        <v>680</v>
      </c>
      <c r="U11" s="1844"/>
      <c r="V11" s="1844"/>
      <c r="W11" s="1844"/>
      <c r="X11" s="1844"/>
      <c r="Y11" s="1844"/>
      <c r="Z11" s="1844"/>
      <c r="AA11" s="1845"/>
      <c r="AC11" s="2093" t="s">
        <v>681</v>
      </c>
      <c r="AD11" s="2094"/>
      <c r="AE11" s="2094"/>
      <c r="AF11" s="2094"/>
      <c r="AG11" s="2094"/>
      <c r="AH11" s="2094"/>
      <c r="AI11" s="2094"/>
      <c r="AJ11" s="2095"/>
    </row>
    <row r="12" spans="1:36" ht="28.8">
      <c r="A12" s="2092" t="s">
        <v>1783</v>
      </c>
      <c r="B12" s="232" t="s">
        <v>1817</v>
      </c>
      <c r="C12" s="232" t="s">
        <v>677</v>
      </c>
      <c r="D12" s="232" t="s">
        <v>678</v>
      </c>
      <c r="E12" s="244" t="s">
        <v>655</v>
      </c>
      <c r="F12" s="244"/>
      <c r="G12" s="244" t="s">
        <v>184</v>
      </c>
      <c r="H12" s="234" t="s">
        <v>303</v>
      </c>
      <c r="J12" s="2096" t="s">
        <v>1783</v>
      </c>
      <c r="K12" s="84" t="s">
        <v>1817</v>
      </c>
      <c r="L12" s="84" t="s">
        <v>677</v>
      </c>
      <c r="M12" s="84" t="s">
        <v>678</v>
      </c>
      <c r="N12" s="1474" t="s">
        <v>655</v>
      </c>
      <c r="O12" s="1474"/>
      <c r="P12" s="1474" t="s">
        <v>184</v>
      </c>
      <c r="Q12" s="1475" t="s">
        <v>303</v>
      </c>
      <c r="T12" s="2092" t="s">
        <v>1783</v>
      </c>
      <c r="U12" s="232" t="s">
        <v>1817</v>
      </c>
      <c r="V12" s="232" t="s">
        <v>677</v>
      </c>
      <c r="W12" s="232" t="s">
        <v>678</v>
      </c>
      <c r="X12" s="244" t="s">
        <v>655</v>
      </c>
      <c r="Y12" s="244"/>
      <c r="Z12" s="244" t="s">
        <v>184</v>
      </c>
      <c r="AA12" s="234" t="s">
        <v>303</v>
      </c>
      <c r="AC12" s="2096" t="s">
        <v>1783</v>
      </c>
      <c r="AD12" s="84" t="s">
        <v>1817</v>
      </c>
      <c r="AE12" s="84" t="s">
        <v>677</v>
      </c>
      <c r="AF12" s="84" t="s">
        <v>678</v>
      </c>
      <c r="AG12" s="1474" t="s">
        <v>655</v>
      </c>
      <c r="AH12" s="1474"/>
      <c r="AI12" s="1474" t="s">
        <v>184</v>
      </c>
      <c r="AJ12" s="1475" t="s">
        <v>303</v>
      </c>
    </row>
    <row r="13" spans="1:36" ht="43.2">
      <c r="A13" s="2092"/>
      <c r="B13" s="232"/>
      <c r="C13" s="232"/>
      <c r="D13" s="232"/>
      <c r="E13" s="259" t="s">
        <v>679</v>
      </c>
      <c r="F13" s="253" t="s">
        <v>660</v>
      </c>
      <c r="G13" s="232" t="s">
        <v>657</v>
      </c>
      <c r="H13" s="234" t="s">
        <v>657</v>
      </c>
      <c r="J13" s="2096"/>
      <c r="K13" s="84"/>
      <c r="L13" s="84"/>
      <c r="M13" s="84"/>
      <c r="N13" s="1476" t="s">
        <v>679</v>
      </c>
      <c r="O13" s="41" t="s">
        <v>660</v>
      </c>
      <c r="P13" s="84" t="s">
        <v>657</v>
      </c>
      <c r="Q13" s="1475" t="s">
        <v>657</v>
      </c>
      <c r="T13" s="2092"/>
      <c r="U13" s="232"/>
      <c r="V13" s="232"/>
      <c r="W13" s="232"/>
      <c r="X13" s="259" t="s">
        <v>679</v>
      </c>
      <c r="Y13" s="253" t="s">
        <v>660</v>
      </c>
      <c r="Z13" s="232" t="s">
        <v>657</v>
      </c>
      <c r="AA13" s="234" t="s">
        <v>657</v>
      </c>
      <c r="AC13" s="2096"/>
      <c r="AD13" s="84"/>
      <c r="AE13" s="84"/>
      <c r="AF13" s="84"/>
      <c r="AG13" s="1476" t="s">
        <v>679</v>
      </c>
      <c r="AH13" s="41" t="s">
        <v>660</v>
      </c>
      <c r="AI13" s="84" t="s">
        <v>657</v>
      </c>
      <c r="AJ13" s="1475" t="s">
        <v>657</v>
      </c>
    </row>
    <row r="14" spans="1:36" ht="36" customHeight="1">
      <c r="A14" s="2102" t="s">
        <v>1789</v>
      </c>
      <c r="B14" s="32" t="s">
        <v>1773</v>
      </c>
      <c r="C14" s="1468">
        <v>2.38</v>
      </c>
      <c r="D14" s="2097">
        <v>3.5</v>
      </c>
      <c r="E14" s="2100">
        <f>$G$32</f>
        <v>724.40766608318165</v>
      </c>
      <c r="F14" s="1481">
        <f>$K$32</f>
        <v>741.23325056217834</v>
      </c>
      <c r="G14" s="1481">
        <f>$F$14-$E$14</f>
        <v>16.825584478996689</v>
      </c>
      <c r="H14" s="1482">
        <f>$AD$32</f>
        <v>333.66767515744283</v>
      </c>
      <c r="J14" s="2102" t="s">
        <v>1777</v>
      </c>
      <c r="K14" s="32" t="s">
        <v>1773</v>
      </c>
      <c r="L14" s="1468">
        <v>2.38</v>
      </c>
      <c r="M14" s="2097">
        <v>3.5</v>
      </c>
      <c r="N14" s="2098">
        <f>I32</f>
        <v>504.09979824914569</v>
      </c>
      <c r="O14" s="269">
        <f>M32</f>
        <v>536.401820876241</v>
      </c>
      <c r="P14" s="269">
        <f>$O$14-$N$14</f>
        <v>32.302022627095312</v>
      </c>
      <c r="Q14" s="1485">
        <f>AF32</f>
        <v>252.78565562263853</v>
      </c>
      <c r="T14" s="2102" t="s">
        <v>1784</v>
      </c>
      <c r="U14" s="32" t="s">
        <v>1773</v>
      </c>
      <c r="V14" s="1468">
        <v>2.38</v>
      </c>
      <c r="W14" s="2097">
        <v>3.5</v>
      </c>
      <c r="X14" s="2105">
        <f>$G$47</f>
        <v>724.40766608318165</v>
      </c>
      <c r="Y14" s="324">
        <f>$K$47</f>
        <v>741.23325056217834</v>
      </c>
      <c r="Z14" s="324">
        <f>Y14-$X$14</f>
        <v>16.825584478996689</v>
      </c>
      <c r="AA14" s="1485">
        <f>$AD$47</f>
        <v>333.66767515744283</v>
      </c>
      <c r="AC14" s="2102" t="s">
        <v>1784</v>
      </c>
      <c r="AD14" s="32" t="s">
        <v>1773</v>
      </c>
      <c r="AE14" s="1468">
        <v>2.38</v>
      </c>
      <c r="AF14" s="2097">
        <v>3.5</v>
      </c>
      <c r="AG14" s="2105">
        <f>I47</f>
        <v>515.84598829536219</v>
      </c>
      <c r="AH14" s="324">
        <f>$M$47</f>
        <v>536.401820876241</v>
      </c>
      <c r="AI14" s="324">
        <f>AH14-$AG$14</f>
        <v>20.555832580878814</v>
      </c>
      <c r="AJ14" s="1485">
        <f>$AF$47</f>
        <v>257.92321501909339</v>
      </c>
    </row>
    <row r="15" spans="1:36" ht="48.6">
      <c r="A15" s="2102"/>
      <c r="B15" s="32" t="s">
        <v>1774</v>
      </c>
      <c r="C15" s="1468">
        <v>2.74</v>
      </c>
      <c r="D15" s="2097"/>
      <c r="E15" s="2100"/>
      <c r="F15" s="1481">
        <f>$K$33</f>
        <v>752.45030688150939</v>
      </c>
      <c r="G15" s="1481">
        <f>$F$15-$E$14</f>
        <v>28.042640798327739</v>
      </c>
      <c r="H15" s="1482">
        <f>$AD$33</f>
        <v>344.88473147677399</v>
      </c>
      <c r="J15" s="2102"/>
      <c r="K15" s="32" t="s">
        <v>1774</v>
      </c>
      <c r="L15" s="1468">
        <v>2.74</v>
      </c>
      <c r="M15" s="2097"/>
      <c r="N15" s="2098"/>
      <c r="O15" s="269">
        <f t="shared" ref="O15:O16" si="7">M33</f>
        <v>565.76729599178213</v>
      </c>
      <c r="P15" s="269">
        <f>$O$15-$N$14</f>
        <v>61.667497742636442</v>
      </c>
      <c r="Q15" s="1485">
        <f>AF33</f>
        <v>282.15113073817969</v>
      </c>
      <c r="T15" s="2102"/>
      <c r="U15" s="32" t="s">
        <v>1774</v>
      </c>
      <c r="V15" s="1468">
        <v>2.74</v>
      </c>
      <c r="W15" s="2097"/>
      <c r="X15" s="2105"/>
      <c r="Y15" s="324">
        <f>$K$48</f>
        <v>752.45030688150939</v>
      </c>
      <c r="Z15" s="324">
        <f t="shared" ref="Z15:Z16" si="8">Y15-$X$14</f>
        <v>28.042640798327739</v>
      </c>
      <c r="AA15" s="1485">
        <f>$AD$48</f>
        <v>344.88473147677399</v>
      </c>
      <c r="AC15" s="2102"/>
      <c r="AD15" s="32" t="s">
        <v>1774</v>
      </c>
      <c r="AE15" s="1468">
        <v>2.74</v>
      </c>
      <c r="AF15" s="2097"/>
      <c r="AG15" s="2105"/>
      <c r="AH15" s="324">
        <f>$M$48</f>
        <v>565.76729599178213</v>
      </c>
      <c r="AI15" s="324">
        <f>AH15-$AG$14</f>
        <v>49.921307696419944</v>
      </c>
      <c r="AJ15" s="1485">
        <f>$AF$48</f>
        <v>287.28869013463458</v>
      </c>
    </row>
    <row r="16" spans="1:36" ht="16.2">
      <c r="A16" s="2102"/>
      <c r="B16" s="32" t="s">
        <v>1775</v>
      </c>
      <c r="C16" s="1468">
        <v>2.92</v>
      </c>
      <c r="D16" s="2097"/>
      <c r="E16" s="2100"/>
      <c r="F16" s="1481">
        <f>$K$34</f>
        <v>758.05883504117492</v>
      </c>
      <c r="G16" s="1481">
        <f>$F$16-$E$14</f>
        <v>33.651168957993264</v>
      </c>
      <c r="H16" s="1482">
        <f>$AD$34</f>
        <v>350.49325963643946</v>
      </c>
      <c r="J16" s="2102"/>
      <c r="K16" s="32" t="s">
        <v>1775</v>
      </c>
      <c r="L16" s="1468">
        <v>2.92</v>
      </c>
      <c r="M16" s="2097"/>
      <c r="N16" s="2098"/>
      <c r="O16" s="269" t="str">
        <f t="shared" si="7"/>
        <v>NA</v>
      </c>
      <c r="P16" s="269" t="str">
        <f>O16</f>
        <v>NA</v>
      </c>
      <c r="Q16" s="1485" t="str">
        <f>P16</f>
        <v>NA</v>
      </c>
      <c r="T16" s="2102"/>
      <c r="U16" s="32" t="s">
        <v>1775</v>
      </c>
      <c r="V16" s="1468">
        <v>2.92</v>
      </c>
      <c r="W16" s="2097"/>
      <c r="X16" s="2105"/>
      <c r="Y16" s="324">
        <f>$K$49</f>
        <v>758.05883504117492</v>
      </c>
      <c r="Z16" s="324">
        <f t="shared" si="8"/>
        <v>33.651168957993264</v>
      </c>
      <c r="AA16" s="1485">
        <f>$AD$49</f>
        <v>350.49325963643946</v>
      </c>
      <c r="AC16" s="2102"/>
      <c r="AD16" s="32" t="s">
        <v>1775</v>
      </c>
      <c r="AE16" s="1468">
        <v>2.92</v>
      </c>
      <c r="AF16" s="2097"/>
      <c r="AG16" s="2105"/>
      <c r="AH16" s="324" t="str">
        <f>$M$45</f>
        <v>NA</v>
      </c>
      <c r="AI16" s="324" t="str">
        <f>AH16</f>
        <v>NA</v>
      </c>
      <c r="AJ16" s="324" t="str">
        <f>AI16</f>
        <v>NA</v>
      </c>
    </row>
    <row r="17" spans="1:36" ht="32.4">
      <c r="A17" s="2102"/>
      <c r="B17" s="32" t="s">
        <v>1773</v>
      </c>
      <c r="C17" s="1468">
        <v>2.38</v>
      </c>
      <c r="D17" s="2097">
        <v>4.5</v>
      </c>
      <c r="E17" s="2100">
        <f>$F$32</f>
        <v>976.21894512133417</v>
      </c>
      <c r="F17" s="1481">
        <f>$J$32</f>
        <v>993.04452960033075</v>
      </c>
      <c r="G17" s="1481">
        <f>$F$17-$E$17</f>
        <v>16.825584478996575</v>
      </c>
      <c r="H17" s="1482">
        <f>$AC$32</f>
        <v>443.80512378253843</v>
      </c>
      <c r="J17" s="2102"/>
      <c r="K17" s="32" t="s">
        <v>1773</v>
      </c>
      <c r="L17" s="1468">
        <v>2.38</v>
      </c>
      <c r="M17" s="2097">
        <v>4.5</v>
      </c>
      <c r="N17" s="2098">
        <f>H32</f>
        <v>722.89913449500125</v>
      </c>
      <c r="O17" s="269">
        <f>L32</f>
        <v>755.20115712209656</v>
      </c>
      <c r="P17" s="269">
        <f>$O$17-$N$17</f>
        <v>32.302022627095312</v>
      </c>
      <c r="Q17" s="1485">
        <f>AE32</f>
        <v>348.48431037325355</v>
      </c>
      <c r="T17" s="2102"/>
      <c r="U17" s="32" t="s">
        <v>1773</v>
      </c>
      <c r="V17" s="1468">
        <v>2.38</v>
      </c>
      <c r="W17" s="2097">
        <v>4.5</v>
      </c>
      <c r="X17" s="2105">
        <f>$F$47</f>
        <v>976.21894512133417</v>
      </c>
      <c r="Y17" s="324">
        <f>$J$47</f>
        <v>993.04452960033075</v>
      </c>
      <c r="Z17" s="324">
        <f>Y17-$X$17</f>
        <v>16.825584478996575</v>
      </c>
      <c r="AA17" s="1485">
        <f>$AC$47</f>
        <v>443.80512378253843</v>
      </c>
      <c r="AC17" s="2102"/>
      <c r="AD17" s="32" t="s">
        <v>1773</v>
      </c>
      <c r="AE17" s="1468">
        <v>2.38</v>
      </c>
      <c r="AF17" s="2097">
        <v>4.5</v>
      </c>
      <c r="AG17" s="2105">
        <f>H47</f>
        <v>734.64532454121775</v>
      </c>
      <c r="AH17" s="324">
        <f>$L$47</f>
        <v>755.20115712209656</v>
      </c>
      <c r="AI17" s="324">
        <f>AH17-$AG$17</f>
        <v>20.555832580878814</v>
      </c>
      <c r="AJ17" s="1485">
        <f>$AE$47</f>
        <v>353.62186976970838</v>
      </c>
    </row>
    <row r="18" spans="1:36" ht="48.6">
      <c r="A18" s="2102"/>
      <c r="B18" s="32" t="s">
        <v>1774</v>
      </c>
      <c r="C18" s="1468">
        <v>2.74</v>
      </c>
      <c r="D18" s="2097"/>
      <c r="E18" s="2100"/>
      <c r="F18" s="1481">
        <f>$J$33</f>
        <v>1004.2615859196619</v>
      </c>
      <c r="G18" s="1481">
        <f>$F$18-$E$17</f>
        <v>28.042640798327739</v>
      </c>
      <c r="H18" s="1482">
        <f>$AC$33</f>
        <v>455.02218010186959</v>
      </c>
      <c r="J18" s="2102"/>
      <c r="K18" s="32" t="s">
        <v>1774</v>
      </c>
      <c r="L18" s="1468">
        <v>2.74</v>
      </c>
      <c r="M18" s="2097"/>
      <c r="N18" s="2098"/>
      <c r="O18" s="269">
        <f t="shared" ref="O18:O19" si="9">L33</f>
        <v>784.56663223763769</v>
      </c>
      <c r="P18" s="269">
        <f>$O$18-$N$17</f>
        <v>61.667497742636442</v>
      </c>
      <c r="Q18" s="1485">
        <f>AE33</f>
        <v>377.84978548879474</v>
      </c>
      <c r="T18" s="2102"/>
      <c r="U18" s="32" t="s">
        <v>1774</v>
      </c>
      <c r="V18" s="1468">
        <v>2.74</v>
      </c>
      <c r="W18" s="2097"/>
      <c r="X18" s="2105"/>
      <c r="Y18" s="324">
        <f>$J$48</f>
        <v>1004.2615859196619</v>
      </c>
      <c r="Z18" s="324">
        <f t="shared" ref="Z18:Z19" si="10">Y18-$X$17</f>
        <v>28.042640798327739</v>
      </c>
      <c r="AA18" s="1485">
        <f>$AC$48</f>
        <v>455.02218010186959</v>
      </c>
      <c r="AC18" s="2102"/>
      <c r="AD18" s="32" t="s">
        <v>1774</v>
      </c>
      <c r="AE18" s="1468">
        <v>2.74</v>
      </c>
      <c r="AF18" s="2097"/>
      <c r="AG18" s="2105"/>
      <c r="AH18" s="324">
        <f>$L$48</f>
        <v>784.56663223763769</v>
      </c>
      <c r="AI18" s="324">
        <f>AH18-$AG$17</f>
        <v>49.921307696419944</v>
      </c>
      <c r="AJ18" s="1485">
        <f>$AC$48</f>
        <v>455.02218010186959</v>
      </c>
    </row>
    <row r="19" spans="1:36" ht="16.8" thickBot="1">
      <c r="A19" s="2103"/>
      <c r="B19" s="1472" t="s">
        <v>1775</v>
      </c>
      <c r="C19" s="1473">
        <v>2.92</v>
      </c>
      <c r="D19" s="2099"/>
      <c r="E19" s="2101"/>
      <c r="F19" s="1483">
        <f>$J$34</f>
        <v>1009.8701140793274</v>
      </c>
      <c r="G19" s="1483">
        <f>$F$19-$E$17</f>
        <v>33.651168957993264</v>
      </c>
      <c r="H19" s="1484">
        <f>$AC$34</f>
        <v>460.63070826153518</v>
      </c>
      <c r="J19" s="2103"/>
      <c r="K19" s="1472" t="s">
        <v>1775</v>
      </c>
      <c r="L19" s="1473">
        <v>2.92</v>
      </c>
      <c r="M19" s="2099"/>
      <c r="N19" s="2104"/>
      <c r="O19" s="270" t="str">
        <f t="shared" si="9"/>
        <v>NA</v>
      </c>
      <c r="P19" s="270" t="str">
        <f>O19</f>
        <v>NA</v>
      </c>
      <c r="Q19" s="1486" t="str">
        <f>P19</f>
        <v>NA</v>
      </c>
      <c r="T19" s="2103"/>
      <c r="U19" s="1472" t="s">
        <v>1775</v>
      </c>
      <c r="V19" s="1473">
        <v>2.92</v>
      </c>
      <c r="W19" s="2099"/>
      <c r="X19" s="2106"/>
      <c r="Y19" s="326">
        <f>$J$49</f>
        <v>1009.8701140793274</v>
      </c>
      <c r="Z19" s="326">
        <f t="shared" si="10"/>
        <v>33.651168957993264</v>
      </c>
      <c r="AA19" s="1486">
        <f>$AC$45</f>
        <v>427.22450091526161</v>
      </c>
      <c r="AC19" s="2103"/>
      <c r="AD19" s="1472" t="s">
        <v>1775</v>
      </c>
      <c r="AE19" s="1473">
        <v>2.92</v>
      </c>
      <c r="AF19" s="2099"/>
      <c r="AG19" s="2105"/>
      <c r="AH19" s="326" t="str">
        <f>$L$45</f>
        <v>NA</v>
      </c>
      <c r="AI19" s="324" t="str">
        <f>AH19</f>
        <v>NA</v>
      </c>
      <c r="AJ19" s="324" t="str">
        <f>AI19</f>
        <v>NA</v>
      </c>
    </row>
    <row r="21" spans="1:36">
      <c r="A21" s="4" t="s">
        <v>634</v>
      </c>
    </row>
    <row r="22" spans="1:36" ht="19.5" customHeight="1"/>
    <row r="23" spans="1:36" ht="18" customHeight="1">
      <c r="A23" s="2080" t="s">
        <v>1790</v>
      </c>
      <c r="B23" s="2080"/>
      <c r="C23" s="2080"/>
      <c r="D23" s="2080"/>
      <c r="E23" s="2080"/>
      <c r="F23" s="2080"/>
      <c r="G23" s="2080"/>
      <c r="H23" s="2080"/>
      <c r="I23" s="2080"/>
      <c r="J23" s="2080"/>
      <c r="K23" s="2080"/>
      <c r="L23" s="2080"/>
      <c r="M23" s="2080"/>
      <c r="N23" s="2080"/>
      <c r="O23" s="2080"/>
      <c r="P23" s="2080"/>
      <c r="Q23" s="2080"/>
      <c r="R23" s="2080"/>
      <c r="S23" s="2080"/>
      <c r="T23" s="2080"/>
      <c r="U23" s="2080"/>
      <c r="V23" s="2080"/>
      <c r="W23" s="2080"/>
      <c r="X23" s="2080"/>
      <c r="Y23" s="2080"/>
      <c r="Z23" s="2080"/>
      <c r="AA23" s="2080"/>
      <c r="AB23" s="2080"/>
      <c r="AC23" s="2080"/>
      <c r="AD23" s="2080"/>
      <c r="AE23" s="2080"/>
      <c r="AF23" s="2080"/>
    </row>
    <row r="24" spans="1:36" ht="16.2">
      <c r="A24" s="2061" t="s">
        <v>781</v>
      </c>
      <c r="B24" s="2061" t="s">
        <v>103</v>
      </c>
      <c r="C24" s="2061"/>
      <c r="D24" s="2072" t="s">
        <v>783</v>
      </c>
      <c r="E24" s="2072"/>
      <c r="F24" s="2061" t="s">
        <v>104</v>
      </c>
      <c r="G24" s="2061"/>
      <c r="H24" s="2061"/>
      <c r="I24" s="2061"/>
      <c r="J24" s="2061" t="s">
        <v>289</v>
      </c>
      <c r="K24" s="2061"/>
      <c r="L24" s="2061"/>
      <c r="M24" s="2061"/>
      <c r="N24" s="2061" t="s">
        <v>782</v>
      </c>
      <c r="O24" s="2061"/>
      <c r="P24" s="2061"/>
      <c r="Q24" s="2061"/>
      <c r="R24" s="2061" t="s">
        <v>620</v>
      </c>
      <c r="S24" s="2061"/>
      <c r="T24" s="2061"/>
      <c r="U24" s="2061"/>
      <c r="V24" s="2061"/>
      <c r="W24" s="2061"/>
      <c r="X24" s="2061"/>
      <c r="Y24" s="2061"/>
      <c r="Z24" s="2061"/>
      <c r="AA24" s="2061"/>
      <c r="AB24" s="2061"/>
      <c r="AC24" s="2061"/>
      <c r="AD24" s="2061"/>
      <c r="AE24" s="2061"/>
      <c r="AF24" s="2061"/>
    </row>
    <row r="25" spans="1:36" ht="56.25" customHeight="1">
      <c r="A25" s="2061"/>
      <c r="B25" s="2061" t="s">
        <v>105</v>
      </c>
      <c r="C25" s="2061" t="s">
        <v>106</v>
      </c>
      <c r="D25" s="2061" t="s">
        <v>99</v>
      </c>
      <c r="E25" s="2061"/>
      <c r="F25" s="1478" t="s">
        <v>233</v>
      </c>
      <c r="G25" s="1478" t="s">
        <v>233</v>
      </c>
      <c r="H25" s="1478" t="s">
        <v>233</v>
      </c>
      <c r="I25" s="1478" t="s">
        <v>233</v>
      </c>
      <c r="J25" s="1478" t="s">
        <v>233</v>
      </c>
      <c r="K25" s="1478" t="s">
        <v>233</v>
      </c>
      <c r="L25" s="1478" t="s">
        <v>233</v>
      </c>
      <c r="M25" s="1478" t="s">
        <v>233</v>
      </c>
      <c r="N25" s="1478" t="s">
        <v>233</v>
      </c>
      <c r="O25" s="1478" t="s">
        <v>233</v>
      </c>
      <c r="P25" s="1478" t="s">
        <v>233</v>
      </c>
      <c r="Q25" s="1478" t="s">
        <v>233</v>
      </c>
      <c r="R25" s="2061" t="s">
        <v>642</v>
      </c>
      <c r="S25" s="2079" t="s">
        <v>621</v>
      </c>
      <c r="T25" s="2079" t="s">
        <v>622</v>
      </c>
      <c r="U25" s="2079" t="s">
        <v>261</v>
      </c>
      <c r="V25" s="2054" t="s">
        <v>623</v>
      </c>
      <c r="W25" s="2054" t="s">
        <v>624</v>
      </c>
      <c r="X25" s="2054" t="s">
        <v>629</v>
      </c>
      <c r="Y25" s="2055" t="s">
        <v>625</v>
      </c>
      <c r="Z25" s="2056"/>
      <c r="AA25" s="2056"/>
      <c r="AB25" s="2057"/>
      <c r="AC25" s="2058" t="s">
        <v>638</v>
      </c>
      <c r="AD25" s="2059"/>
      <c r="AE25" s="2059"/>
      <c r="AF25" s="2060"/>
    </row>
    <row r="26" spans="1:36" ht="18">
      <c r="A26" s="2061"/>
      <c r="B26" s="2061"/>
      <c r="C26" s="2061"/>
      <c r="D26" s="2061"/>
      <c r="E26" s="2061"/>
      <c r="F26" s="1478">
        <v>4.5</v>
      </c>
      <c r="G26" s="1478">
        <v>3.5</v>
      </c>
      <c r="H26" s="1478">
        <v>4.5</v>
      </c>
      <c r="I26" s="1478">
        <v>3.5</v>
      </c>
      <c r="J26" s="1478">
        <v>4.5</v>
      </c>
      <c r="K26" s="1478">
        <v>3.5</v>
      </c>
      <c r="L26" s="1478">
        <v>4.5</v>
      </c>
      <c r="M26" s="1478">
        <v>3.5</v>
      </c>
      <c r="N26" s="1478">
        <v>4.5</v>
      </c>
      <c r="O26" s="1478">
        <v>3.5</v>
      </c>
      <c r="P26" s="1478">
        <v>4.5</v>
      </c>
      <c r="Q26" s="1478">
        <v>3.5</v>
      </c>
      <c r="R26" s="2061"/>
      <c r="S26" s="2079"/>
      <c r="T26" s="2079"/>
      <c r="U26" s="2079"/>
      <c r="V26" s="2054"/>
      <c r="W26" s="2054"/>
      <c r="X26" s="2054"/>
      <c r="Y26" s="1465" t="s">
        <v>675</v>
      </c>
      <c r="Z26" s="1465" t="s">
        <v>640</v>
      </c>
      <c r="AA26" s="1465" t="s">
        <v>675</v>
      </c>
      <c r="AB26" s="1465" t="s">
        <v>640</v>
      </c>
      <c r="AC26" s="1465" t="s">
        <v>675</v>
      </c>
      <c r="AD26" s="1465" t="s">
        <v>640</v>
      </c>
      <c r="AE26" s="1465" t="s">
        <v>675</v>
      </c>
      <c r="AF26" s="1465" t="s">
        <v>640</v>
      </c>
    </row>
    <row r="27" spans="1:36" ht="18">
      <c r="A27" s="2061"/>
      <c r="B27" s="2061"/>
      <c r="C27" s="2061"/>
      <c r="D27" s="1478" t="s">
        <v>100</v>
      </c>
      <c r="E27" s="1478" t="s">
        <v>101</v>
      </c>
      <c r="F27" s="2061" t="s">
        <v>100</v>
      </c>
      <c r="G27" s="2061"/>
      <c r="H27" s="2061" t="s">
        <v>101</v>
      </c>
      <c r="I27" s="2061"/>
      <c r="J27" s="2061" t="s">
        <v>100</v>
      </c>
      <c r="K27" s="2061"/>
      <c r="L27" s="2061" t="s">
        <v>101</v>
      </c>
      <c r="M27" s="2061"/>
      <c r="N27" s="2061" t="s">
        <v>100</v>
      </c>
      <c r="O27" s="2061"/>
      <c r="P27" s="2061" t="s">
        <v>101</v>
      </c>
      <c r="Q27" s="2061"/>
      <c r="R27" s="2061"/>
      <c r="S27" s="2079"/>
      <c r="T27" s="2079"/>
      <c r="U27" s="2079"/>
      <c r="V27" s="2054"/>
      <c r="W27" s="2054"/>
      <c r="X27" s="2054"/>
      <c r="Y27" s="1465" t="s">
        <v>639</v>
      </c>
      <c r="Z27" s="1465" t="s">
        <v>639</v>
      </c>
      <c r="AA27" s="1465" t="s">
        <v>641</v>
      </c>
      <c r="AB27" s="1465" t="s">
        <v>101</v>
      </c>
      <c r="AC27" s="1465" t="s">
        <v>639</v>
      </c>
      <c r="AD27" s="1465" t="s">
        <v>639</v>
      </c>
      <c r="AE27" s="1465" t="s">
        <v>641</v>
      </c>
      <c r="AF27" s="1465" t="s">
        <v>101</v>
      </c>
    </row>
    <row r="28" spans="1:36" ht="16.2">
      <c r="A28" s="32" t="s">
        <v>1773</v>
      </c>
      <c r="B28" s="2069">
        <v>1.84</v>
      </c>
      <c r="C28" s="2069">
        <v>1.29</v>
      </c>
      <c r="D28" s="417">
        <v>2.38</v>
      </c>
      <c r="E28" s="417">
        <v>2.06</v>
      </c>
      <c r="F28" s="2062">
        <f>'[6]Equipment Results Matrix'!$T$63+'[6]Equipment Results Matrix'!$R$56*$B$28+'[6]Equipment Results Matrix'!$R$57*F26+'[6]Equipment Results Matrix'!$R$58+'[6]Equipment Results Matrix'!$R$60+'[6]Equipment Results Matrix'!$R$65+'[6]Equipment Results Matrix'!$R$69+'[6]Equipment Results Matrix'!$R$79+'[6]Equipment Results Matrix'!$R$82+'[6]Equipment Results Matrix'!$R$91</f>
        <v>905.42085912493212</v>
      </c>
      <c r="G28" s="2062">
        <f>'[6]Equipment Results Matrix'!$T$63+'[6]Equipment Results Matrix'!$R$56*$B$28+'[6]Equipment Results Matrix'!$R$57*G26+'[6]Equipment Results Matrix'!$R$58+'[6]Equipment Results Matrix'!$R$60+'[6]Equipment Results Matrix'!$R$65+'[6]Equipment Results Matrix'!$R$69+'[6]Equipment Results Matrix'!$R$79+'[6]Equipment Results Matrix'!$R$82+'[6]Equipment Results Matrix'!$R$91</f>
        <v>671.87162742493217</v>
      </c>
      <c r="H28" s="2062">
        <f>'[6]Equipment Results Matrix'!$T$35+'[6]Equipment Results Matrix'!$R$28*$C$28+'[6]Equipment Results Matrix'!$R$29*H26+'[6]Equipment Results Matrix'!$R$30+'[6]Equipment Results Matrix'!$R$33+'[6]Equipment Results Matrix'!$R$37+'[6]Equipment Results Matrix'!$R$39+'[6]Equipment Results Matrix'!$R$48</f>
        <v>670.47249870138785</v>
      </c>
      <c r="I28" s="2062">
        <f>'[6]Equipment Results Matrix'!$T$35+'[6]Equipment Results Matrix'!$R$28*$C$28+'[6]Equipment Results Matrix'!$R$29*I26+'[6]Equipment Results Matrix'!$R$30+'[6]Equipment Results Matrix'!$R$33+'[6]Equipment Results Matrix'!$R$37+'[6]Equipment Results Matrix'!$R$39+'[6]Equipment Results Matrix'!$R$48</f>
        <v>467.54109280138766</v>
      </c>
      <c r="J28" s="418">
        <f>'[6]Equipment Results Matrix'!$T$63+'[6]Equipment Results Matrix'!$R$56*$D28+'[6]Equipment Results Matrix'!$R$57*J$26+'[6]Equipment Results Matrix'!$R$58+'[6]Equipment Results Matrix'!$R$60+'[6]Equipment Results Matrix'!$R$65+'[6]Equipment Results Matrix'!$R$69+'[6]Equipment Results Matrix'!$R$79+'[6]Equipment Results Matrix'!$R$82+'[6]Equipment Results Matrix'!$R$91</f>
        <v>921.02620588693208</v>
      </c>
      <c r="K28" s="418">
        <f>'[6]Equipment Results Matrix'!$T$63+'[6]Equipment Results Matrix'!$R$56*$D28+'[6]Equipment Results Matrix'!$R$57*K$26+'[6]Equipment Results Matrix'!$R$58+'[6]Equipment Results Matrix'!$R$60+'[6]Equipment Results Matrix'!$R$65+'[6]Equipment Results Matrix'!$R$69+'[6]Equipment Results Matrix'!$R$79+'[6]Equipment Results Matrix'!$R$82+'[6]Equipment Results Matrix'!$R$91</f>
        <v>687.47697418693213</v>
      </c>
      <c r="L28" s="418">
        <f>'[6]Equipment Results Matrix'!$T$35+'[6]Equipment Results Matrix'!$R$28*$E28+'[6]Equipment Results Matrix'!$R$29*L$26+'[6]Equipment Results Matrix'!$R$30+'[6]Equipment Results Matrix'!$R$33+'[6]Equipment Results Matrix'!$R$37+'[6]Equipment Results Matrix'!$R$39+'[6]Equipment Results Matrix'!$R$48</f>
        <v>700.43188970138783</v>
      </c>
      <c r="M28" s="418">
        <f>'[6]Equipment Results Matrix'!$T$35+'[6]Equipment Results Matrix'!$R$28*$E28+'[6]Equipment Results Matrix'!$R$29*M$26+'[6]Equipment Results Matrix'!$R$30+'[6]Equipment Results Matrix'!$R$33+'[6]Equipment Results Matrix'!$R$37+'[6]Equipment Results Matrix'!$R$39+'[6]Equipment Results Matrix'!$R$48</f>
        <v>497.50048380138765</v>
      </c>
      <c r="N28" s="418">
        <f>J28-F$28</f>
        <v>15.605346761999954</v>
      </c>
      <c r="O28" s="418">
        <f t="shared" ref="N28:O29" si="11">K28-G$28</f>
        <v>15.605346761999954</v>
      </c>
      <c r="P28" s="419">
        <f>L28-H$28</f>
        <v>29.959390999999982</v>
      </c>
      <c r="Q28" s="419">
        <f>M28-I$28</f>
        <v>29.959390999999982</v>
      </c>
      <c r="R28" s="2062" t="s">
        <v>720</v>
      </c>
      <c r="S28" s="218">
        <v>0.05</v>
      </c>
      <c r="T28" s="219">
        <v>14</v>
      </c>
      <c r="U28" s="217">
        <v>5</v>
      </c>
      <c r="V28" s="418">
        <f>((1+$S28)^U28-1)/($S28*(1+$S28)^U28)</f>
        <v>4.3294766706308208</v>
      </c>
      <c r="W28" s="3">
        <f>((1+$S28)^T28-1)/($S28*(1+$S28)^T28)</f>
        <v>9.8986409400896225</v>
      </c>
      <c r="X28" s="3">
        <f>V28/W28</f>
        <v>0.43738091893972886</v>
      </c>
      <c r="Y28" s="2065">
        <f>F28*$X$28</f>
        <v>396.01380739126159</v>
      </c>
      <c r="Z28" s="2065">
        <f t="shared" ref="Z28:AA28" si="12">G28*$X$28</f>
        <v>293.86382981264796</v>
      </c>
      <c r="AA28" s="2065">
        <f t="shared" si="12"/>
        <v>293.25187760582918</v>
      </c>
      <c r="AB28" s="2065">
        <f>I28*$X$28</f>
        <v>204.49355281155599</v>
      </c>
      <c r="AC28" s="9">
        <f t="shared" ref="AC28:AD28" si="13">Y$28+N28</f>
        <v>411.61915415326155</v>
      </c>
      <c r="AD28" s="9">
        <f t="shared" si="13"/>
        <v>309.46917657464792</v>
      </c>
      <c r="AE28" s="9">
        <f>AA$28+P28</f>
        <v>323.21126860582916</v>
      </c>
      <c r="AF28" s="9">
        <f>AB$28+Q28</f>
        <v>234.45294381155597</v>
      </c>
    </row>
    <row r="29" spans="1:36" ht="49.5" customHeight="1">
      <c r="A29" s="32" t="s">
        <v>1774</v>
      </c>
      <c r="B29" s="2070"/>
      <c r="C29" s="2070"/>
      <c r="D29" s="417">
        <v>2.74</v>
      </c>
      <c r="E29" s="417">
        <v>2.76</v>
      </c>
      <c r="F29" s="2063"/>
      <c r="G29" s="2063"/>
      <c r="H29" s="2063"/>
      <c r="I29" s="2063"/>
      <c r="J29" s="418">
        <f>'[6]Equipment Results Matrix'!$T$63+'[6]Equipment Results Matrix'!$R$56*$D29+'[6]Equipment Results Matrix'!$R$57*J$26+'[6]Equipment Results Matrix'!$R$58+'[6]Equipment Results Matrix'!$R$60+'[6]Equipment Results Matrix'!$R$65+'[6]Equipment Results Matrix'!$R$69+'[6]Equipment Results Matrix'!$R$79+'[6]Equipment Results Matrix'!$R$82+'[6]Equipment Results Matrix'!$R$91</f>
        <v>931.42977039493212</v>
      </c>
      <c r="K29" s="418">
        <f>'[6]Equipment Results Matrix'!$T$63+'[6]Equipment Results Matrix'!$R$56*$D29+'[6]Equipment Results Matrix'!$R$57*K$26+'[6]Equipment Results Matrix'!$R$58+'[6]Equipment Results Matrix'!$R$60+'[6]Equipment Results Matrix'!$R$65+'[6]Equipment Results Matrix'!$R$69+'[6]Equipment Results Matrix'!$R$79+'[6]Equipment Results Matrix'!$R$82+'[6]Equipment Results Matrix'!$R$91</f>
        <v>697.88053869493217</v>
      </c>
      <c r="L29" s="418">
        <f>'[6]Equipment Results Matrix'!$T$35+'[6]Equipment Results Matrix'!$R$28*$E29+'[6]Equipment Results Matrix'!$R$29*L$26+'[6]Equipment Results Matrix'!$R$30+'[6]Equipment Results Matrix'!$R$33+'[6]Equipment Results Matrix'!$R$37+'[6]Equipment Results Matrix'!$R$39+'[6]Equipment Results Matrix'!$R$48</f>
        <v>727.66769970138785</v>
      </c>
      <c r="M29" s="418">
        <f>'[6]Equipment Results Matrix'!$T$35+'[6]Equipment Results Matrix'!$R$28*$E29+'[6]Equipment Results Matrix'!$R$29*M$26+'[6]Equipment Results Matrix'!$R$30+'[6]Equipment Results Matrix'!$R$33+'[6]Equipment Results Matrix'!$R$37+'[6]Equipment Results Matrix'!$R$39+'[6]Equipment Results Matrix'!$R$48</f>
        <v>524.73629380138766</v>
      </c>
      <c r="N29" s="418">
        <f t="shared" si="11"/>
        <v>26.008911269999999</v>
      </c>
      <c r="O29" s="1466">
        <f t="shared" si="11"/>
        <v>26.008911269999999</v>
      </c>
      <c r="P29" s="418">
        <f>L29-H$28</f>
        <v>57.195200999999997</v>
      </c>
      <c r="Q29" s="418">
        <f>M29-I$28</f>
        <v>57.195200999999997</v>
      </c>
      <c r="R29" s="2063"/>
      <c r="S29" s="183">
        <v>0.05</v>
      </c>
      <c r="T29" s="217">
        <v>14</v>
      </c>
      <c r="U29" s="217">
        <v>5</v>
      </c>
      <c r="V29" s="418">
        <f t="shared" ref="V29:V30" si="14">((1+$S29)^U29-1)/($S29*(1+$S29)^U29)</f>
        <v>4.3294766706308208</v>
      </c>
      <c r="W29" s="3">
        <f>((1+$S29)^T29-1)/($S29*(1+$S29)^T29)</f>
        <v>9.8986409400896225</v>
      </c>
      <c r="X29" s="3">
        <f t="shared" ref="X29:X30" si="15">V29/W29</f>
        <v>0.43738091893972886</v>
      </c>
      <c r="Y29" s="2065"/>
      <c r="Z29" s="2065"/>
      <c r="AA29" s="2065"/>
      <c r="AB29" s="2065"/>
      <c r="AC29" s="9">
        <f t="shared" ref="AC29" si="16">Y$28+N29</f>
        <v>422.02271866126159</v>
      </c>
      <c r="AD29" s="9">
        <f t="shared" ref="AD29" si="17">Z$28+O29</f>
        <v>319.87274108264796</v>
      </c>
      <c r="AE29" s="9">
        <f>AA$28+P29</f>
        <v>350.44707860582918</v>
      </c>
      <c r="AF29" s="9">
        <f>AB$28+Q29</f>
        <v>261.68875381155601</v>
      </c>
    </row>
    <row r="30" spans="1:36" ht="16.2">
      <c r="A30" s="32" t="s">
        <v>1775</v>
      </c>
      <c r="B30" s="2071"/>
      <c r="C30" s="2071"/>
      <c r="D30" s="417">
        <v>2.92</v>
      </c>
      <c r="E30" s="417" t="s">
        <v>102</v>
      </c>
      <c r="F30" s="2064"/>
      <c r="G30" s="2064"/>
      <c r="H30" s="2064"/>
      <c r="I30" s="2064"/>
      <c r="J30" s="418">
        <f>'[6]Equipment Results Matrix'!$T$63+'[6]Equipment Results Matrix'!$R$56*$D30+'[6]Equipment Results Matrix'!$R$57*J$26+'[6]Equipment Results Matrix'!$R$58+'[6]Equipment Results Matrix'!$R$60+'[6]Equipment Results Matrix'!$R$65+'[6]Equipment Results Matrix'!$R$69+'[6]Equipment Results Matrix'!$R$79+'[6]Equipment Results Matrix'!$R$82+'[6]Equipment Results Matrix'!$R$91</f>
        <v>936.63155264893214</v>
      </c>
      <c r="K30" s="418">
        <f>'[6]Equipment Results Matrix'!$T$63+'[6]Equipment Results Matrix'!$R$56*$D30+'[6]Equipment Results Matrix'!$R$57*K$26+'[6]Equipment Results Matrix'!$R$58+'[6]Equipment Results Matrix'!$R$60+'[6]Equipment Results Matrix'!$R$65+'[6]Equipment Results Matrix'!$R$69+'[6]Equipment Results Matrix'!$R$79+'[6]Equipment Results Matrix'!$R$82+'[6]Equipment Results Matrix'!$R$91</f>
        <v>703.08232094893208</v>
      </c>
      <c r="L30" s="418" t="s">
        <v>22</v>
      </c>
      <c r="M30" s="418" t="s">
        <v>22</v>
      </c>
      <c r="N30" s="418">
        <f>J30-F$28</f>
        <v>31.210693524000021</v>
      </c>
      <c r="O30" s="418">
        <f>K30-G$28</f>
        <v>31.210693523999907</v>
      </c>
      <c r="P30" s="420" t="s">
        <v>22</v>
      </c>
      <c r="Q30" s="420" t="s">
        <v>22</v>
      </c>
      <c r="R30" s="2064"/>
      <c r="S30" s="183">
        <v>0.05</v>
      </c>
      <c r="T30" s="217">
        <v>14</v>
      </c>
      <c r="U30" s="217">
        <v>5</v>
      </c>
      <c r="V30" s="418">
        <f t="shared" si="14"/>
        <v>4.3294766706308208</v>
      </c>
      <c r="W30" s="3">
        <f>((1+$S30)^T30-1)/($S30*(1+$S30)^T30)</f>
        <v>9.8986409400896225</v>
      </c>
      <c r="X30" s="3">
        <f t="shared" si="15"/>
        <v>0.43738091893972886</v>
      </c>
      <c r="Y30" s="2065"/>
      <c r="Z30" s="2065"/>
      <c r="AA30" s="2065"/>
      <c r="AB30" s="2065"/>
      <c r="AC30" s="9">
        <f t="shared" ref="AC30" si="18">Y$28+N30</f>
        <v>427.22450091526161</v>
      </c>
      <c r="AD30" s="9">
        <f t="shared" ref="AD30" si="19">Z$28+O30</f>
        <v>325.07452333664787</v>
      </c>
      <c r="AE30" s="9" t="s">
        <v>22</v>
      </c>
      <c r="AF30" s="9" t="s">
        <v>22</v>
      </c>
    </row>
    <row r="31" spans="1:36" ht="16.2">
      <c r="A31" s="2066" t="s">
        <v>466</v>
      </c>
      <c r="B31" s="2067"/>
      <c r="C31" s="2067"/>
      <c r="D31" s="2067"/>
      <c r="E31" s="2067"/>
      <c r="F31" s="2067"/>
      <c r="G31" s="2067"/>
      <c r="H31" s="2067"/>
      <c r="I31" s="2067"/>
      <c r="J31" s="2067"/>
      <c r="K31" s="2067"/>
      <c r="L31" s="2067"/>
      <c r="M31" s="2067"/>
      <c r="N31" s="2067"/>
      <c r="O31" s="2067"/>
      <c r="P31" s="2067"/>
      <c r="Q31" s="2068"/>
      <c r="R31" s="1467"/>
      <c r="S31" s="1467"/>
      <c r="T31" s="1467"/>
      <c r="U31" s="1467"/>
      <c r="V31" s="1467"/>
      <c r="W31" s="1467"/>
      <c r="X31" s="1467"/>
      <c r="Y31" s="1467"/>
      <c r="Z31" s="1467"/>
      <c r="AA31" s="1467"/>
      <c r="AB31" s="1467"/>
      <c r="AC31" s="1467"/>
      <c r="AD31" s="1467"/>
      <c r="AE31" s="1467"/>
      <c r="AF31" s="1467"/>
    </row>
    <row r="32" spans="1:36" ht="16.2">
      <c r="A32" s="32" t="s">
        <v>1773</v>
      </c>
      <c r="B32" s="2069">
        <v>1.84</v>
      </c>
      <c r="C32" s="2069">
        <v>1.29</v>
      </c>
      <c r="D32" s="417">
        <v>2.38</v>
      </c>
      <c r="E32" s="417">
        <v>2.06</v>
      </c>
      <c r="F32" s="2062">
        <f>F28*[7]Inflation!$D$3</f>
        <v>976.21894512133417</v>
      </c>
      <c r="G32" s="2062">
        <f>G28*[7]Inflation!$D$3</f>
        <v>724.40766608318165</v>
      </c>
      <c r="H32" s="2062">
        <f>H28*[7]Inflation!$D$3</f>
        <v>722.89913449500125</v>
      </c>
      <c r="I32" s="2062">
        <f>I28*[7]Inflation!$D$3</f>
        <v>504.09979824914569</v>
      </c>
      <c r="J32" s="418">
        <f>J28*[7]Inflation!$D$3</f>
        <v>993.04452960033075</v>
      </c>
      <c r="K32" s="418">
        <f>K28*[7]Inflation!$D$3</f>
        <v>741.23325056217834</v>
      </c>
      <c r="L32" s="418">
        <f>L28*[7]Inflation!$D$3</f>
        <v>755.20115712209656</v>
      </c>
      <c r="M32" s="418">
        <f>M28*[7]Inflation!$D$3</f>
        <v>536.401820876241</v>
      </c>
      <c r="N32" s="418">
        <f>N28*[7]Inflation!$D$3</f>
        <v>16.825584478996596</v>
      </c>
      <c r="O32" s="418">
        <f>O28*[7]Inflation!$D$3</f>
        <v>16.825584478996596</v>
      </c>
      <c r="P32" s="418">
        <f>P28*[7]Inflation!$D$3</f>
        <v>32.302022627095248</v>
      </c>
      <c r="Q32" s="418">
        <f>Q28*[7]Inflation!$D$3</f>
        <v>32.302022627095248</v>
      </c>
      <c r="R32" s="2062" t="s">
        <v>720</v>
      </c>
      <c r="S32" s="218">
        <v>0.05</v>
      </c>
      <c r="T32" s="219">
        <v>14</v>
      </c>
      <c r="U32" s="217">
        <v>5</v>
      </c>
      <c r="V32" s="418">
        <f>((1+$S32)^U32-1)/($S32*(1+$S32)^U32)</f>
        <v>4.3294766706308208</v>
      </c>
      <c r="W32" s="3">
        <f>((1+$S32)^T32-1)/($S32*(1+$S32)^T32)</f>
        <v>9.8986409400896225</v>
      </c>
      <c r="X32" s="3">
        <f>V32/W32</f>
        <v>0.43738091893972886</v>
      </c>
      <c r="Y32" s="2065">
        <f>Y28*[7]Inflation!$D$3</f>
        <v>426.97953930354186</v>
      </c>
      <c r="Z32" s="2065">
        <f>Z28*[7]Inflation!$D$3</f>
        <v>316.84209067844625</v>
      </c>
      <c r="AA32" s="2065">
        <f>AA28*[7]Inflation!$D$3</f>
        <v>316.18228774615829</v>
      </c>
      <c r="AB32" s="2065">
        <f>AB28*[7]Inflation!$D$3</f>
        <v>220.48363299554327</v>
      </c>
      <c r="AC32" s="9">
        <f>AC28*[7]Inflation!$D$3</f>
        <v>443.80512378253843</v>
      </c>
      <c r="AD32" s="9">
        <f>AD28*[7]Inflation!$D$3</f>
        <v>333.66767515744283</v>
      </c>
      <c r="AE32" s="9">
        <f>AE28*[7]Inflation!$D$3</f>
        <v>348.48431037325355</v>
      </c>
      <c r="AF32" s="9">
        <f>AF28*[7]Inflation!$D$3</f>
        <v>252.78565562263853</v>
      </c>
    </row>
    <row r="33" spans="1:32" ht="32.4">
      <c r="A33" s="32" t="s">
        <v>1774</v>
      </c>
      <c r="B33" s="2070"/>
      <c r="C33" s="2070"/>
      <c r="D33" s="417">
        <v>2.74</v>
      </c>
      <c r="E33" s="417">
        <v>2.76</v>
      </c>
      <c r="F33" s="2063"/>
      <c r="G33" s="2063"/>
      <c r="H33" s="2063"/>
      <c r="I33" s="2063"/>
      <c r="J33" s="418">
        <f>J29*[7]Inflation!$D$3</f>
        <v>1004.2615859196619</v>
      </c>
      <c r="K33" s="418">
        <f>K29*[7]Inflation!$D$3</f>
        <v>752.45030688150939</v>
      </c>
      <c r="L33" s="418">
        <f>L29*[7]Inflation!$D$3</f>
        <v>784.56663223763769</v>
      </c>
      <c r="M33" s="418">
        <f>M29*[7]Inflation!$D$3</f>
        <v>565.76729599178213</v>
      </c>
      <c r="N33" s="418">
        <f>N29*[7]Inflation!$D$3</f>
        <v>28.042640798327742</v>
      </c>
      <c r="O33" s="418">
        <f>O29*[7]Inflation!$D$3</f>
        <v>28.042640798327742</v>
      </c>
      <c r="P33" s="418">
        <f>P29*[7]Inflation!$D$3</f>
        <v>61.667497742636414</v>
      </c>
      <c r="Q33" s="418">
        <f>Q29*[7]Inflation!$D$3</f>
        <v>61.667497742636414</v>
      </c>
      <c r="R33" s="2063"/>
      <c r="S33" s="183">
        <v>0.05</v>
      </c>
      <c r="T33" s="217">
        <v>14</v>
      </c>
      <c r="U33" s="217">
        <v>5</v>
      </c>
      <c r="V33" s="418">
        <f t="shared" ref="V33:V34" si="20">((1+$S33)^U33-1)/($S33*(1+$S33)^U33)</f>
        <v>4.3294766706308208</v>
      </c>
      <c r="W33" s="3">
        <f>((1+$S33)^T33-1)/($S33*(1+$S33)^T33)</f>
        <v>9.8986409400896225</v>
      </c>
      <c r="X33" s="3">
        <f t="shared" ref="X33:X34" si="21">V33/W33</f>
        <v>0.43738091893972886</v>
      </c>
      <c r="Y33" s="2065"/>
      <c r="Z33" s="2065"/>
      <c r="AA33" s="2065"/>
      <c r="AB33" s="2065"/>
      <c r="AC33" s="9">
        <f>AC29*[7]Inflation!$D$3</f>
        <v>455.02218010186959</v>
      </c>
      <c r="AD33" s="9">
        <f>AD29*[7]Inflation!$D$3</f>
        <v>344.88473147677399</v>
      </c>
      <c r="AE33" s="9">
        <f>AE29*[7]Inflation!$D$3</f>
        <v>377.84978548879474</v>
      </c>
      <c r="AF33" s="9">
        <f>AF29*[7]Inflation!$D$3</f>
        <v>282.15113073817969</v>
      </c>
    </row>
    <row r="34" spans="1:32" ht="16.2">
      <c r="A34" s="32" t="s">
        <v>1775</v>
      </c>
      <c r="B34" s="2071"/>
      <c r="C34" s="2071"/>
      <c r="D34" s="417">
        <v>2.92</v>
      </c>
      <c r="E34" s="417" t="s">
        <v>102</v>
      </c>
      <c r="F34" s="2064"/>
      <c r="G34" s="2064"/>
      <c r="H34" s="2064"/>
      <c r="I34" s="2064"/>
      <c r="J34" s="418">
        <f>J30*[7]Inflation!$D$3</f>
        <v>1009.8701140793274</v>
      </c>
      <c r="K34" s="418">
        <f>K30*[7]Inflation!$D$3</f>
        <v>758.05883504117492</v>
      </c>
      <c r="L34" s="418" t="s">
        <v>22</v>
      </c>
      <c r="M34" s="418" t="s">
        <v>22</v>
      </c>
      <c r="N34" s="418">
        <f>N30*[7]Inflation!$D$3</f>
        <v>33.651168957993313</v>
      </c>
      <c r="O34" s="418">
        <f>O30*[7]Inflation!$D$3</f>
        <v>33.651168957993193</v>
      </c>
      <c r="P34" s="418" t="s">
        <v>22</v>
      </c>
      <c r="Q34" s="418" t="s">
        <v>22</v>
      </c>
      <c r="R34" s="2064"/>
      <c r="S34" s="183">
        <v>0.05</v>
      </c>
      <c r="T34" s="217">
        <v>14</v>
      </c>
      <c r="U34" s="217">
        <v>5</v>
      </c>
      <c r="V34" s="418">
        <f t="shared" si="20"/>
        <v>4.3294766706308208</v>
      </c>
      <c r="W34" s="3">
        <f>((1+$S34)^T34-1)/($S34*(1+$S34)^T34)</f>
        <v>9.8986409400896225</v>
      </c>
      <c r="X34" s="3">
        <f t="shared" si="21"/>
        <v>0.43738091893972886</v>
      </c>
      <c r="Y34" s="2065"/>
      <c r="Z34" s="2065"/>
      <c r="AA34" s="2065"/>
      <c r="AB34" s="2065"/>
      <c r="AC34" s="9">
        <f>AC30*[7]Inflation!$D$3</f>
        <v>460.63070826153518</v>
      </c>
      <c r="AD34" s="9">
        <f>AD30*[7]Inflation!$D$3</f>
        <v>350.49325963643946</v>
      </c>
      <c r="AE34" s="9" t="s">
        <v>22</v>
      </c>
      <c r="AF34" s="9" t="s">
        <v>22</v>
      </c>
    </row>
    <row r="37" spans="1:32" ht="33" customHeight="1">
      <c r="A37" s="413"/>
      <c r="B37" s="414"/>
      <c r="C37" s="414"/>
      <c r="D37" s="414"/>
      <c r="E37" s="414"/>
      <c r="F37" s="415"/>
      <c r="G37" s="415"/>
      <c r="H37" s="415"/>
      <c r="I37" s="415"/>
      <c r="J37" s="415"/>
      <c r="K37" s="415"/>
      <c r="L37" s="415"/>
      <c r="M37" s="415"/>
      <c r="N37" s="415"/>
      <c r="O37" s="415"/>
      <c r="P37" s="415"/>
      <c r="Q37" s="415"/>
    </row>
    <row r="38" spans="1:32" ht="27.75" customHeight="1">
      <c r="A38" s="2080" t="s">
        <v>1776</v>
      </c>
      <c r="B38" s="2080"/>
      <c r="C38" s="2080"/>
      <c r="D38" s="2080"/>
      <c r="E38" s="2080"/>
      <c r="F38" s="2080"/>
      <c r="G38" s="2080"/>
      <c r="H38" s="2080"/>
      <c r="I38" s="2080"/>
      <c r="J38" s="2080"/>
      <c r="K38" s="2080"/>
      <c r="L38" s="2080"/>
      <c r="M38" s="2080"/>
      <c r="N38" s="2080"/>
      <c r="O38" s="2080"/>
      <c r="P38" s="2080"/>
      <c r="Q38" s="2080"/>
      <c r="R38" s="2081" t="s">
        <v>620</v>
      </c>
      <c r="S38" s="2082"/>
      <c r="T38" s="2082"/>
      <c r="U38" s="2082"/>
      <c r="V38" s="2082"/>
      <c r="W38" s="2082"/>
      <c r="X38" s="2082"/>
      <c r="Y38" s="2082"/>
      <c r="Z38" s="2082"/>
      <c r="AA38" s="2082"/>
      <c r="AB38" s="2082"/>
      <c r="AC38" s="2082"/>
      <c r="AD38" s="2082"/>
      <c r="AE38" s="2082"/>
      <c r="AF38" s="2083"/>
    </row>
    <row r="39" spans="1:32" ht="18" customHeight="1">
      <c r="A39" s="2061" t="s">
        <v>781</v>
      </c>
      <c r="B39" s="2073" t="s">
        <v>103</v>
      </c>
      <c r="C39" s="2074"/>
      <c r="D39" s="2072" t="s">
        <v>783</v>
      </c>
      <c r="E39" s="2072"/>
      <c r="F39" s="2073" t="s">
        <v>104</v>
      </c>
      <c r="G39" s="2074"/>
      <c r="H39" s="2074"/>
      <c r="I39" s="2075"/>
      <c r="J39" s="2073" t="s">
        <v>289</v>
      </c>
      <c r="K39" s="2074"/>
      <c r="L39" s="2074"/>
      <c r="M39" s="2075"/>
      <c r="N39" s="2073" t="s">
        <v>782</v>
      </c>
      <c r="O39" s="2074"/>
      <c r="P39" s="2074"/>
      <c r="Q39" s="2075"/>
      <c r="R39" s="2084"/>
      <c r="S39" s="2085"/>
      <c r="T39" s="2085"/>
      <c r="U39" s="2085"/>
      <c r="V39" s="2085"/>
      <c r="W39" s="2085"/>
      <c r="X39" s="2085"/>
      <c r="Y39" s="2085"/>
      <c r="Z39" s="2085"/>
      <c r="AA39" s="2085"/>
      <c r="AB39" s="2085"/>
      <c r="AC39" s="2085"/>
      <c r="AD39" s="2085"/>
      <c r="AE39" s="2085"/>
      <c r="AF39" s="2086"/>
    </row>
    <row r="40" spans="1:32" ht="48.6">
      <c r="A40" s="2061"/>
      <c r="B40" s="2076" t="s">
        <v>105</v>
      </c>
      <c r="C40" s="2076" t="s">
        <v>106</v>
      </c>
      <c r="D40" s="2061" t="s">
        <v>99</v>
      </c>
      <c r="E40" s="2061"/>
      <c r="F40" s="1478" t="s">
        <v>233</v>
      </c>
      <c r="G40" s="1478" t="s">
        <v>233</v>
      </c>
      <c r="H40" s="1478" t="s">
        <v>233</v>
      </c>
      <c r="I40" s="1478" t="s">
        <v>233</v>
      </c>
      <c r="J40" s="1478" t="s">
        <v>233</v>
      </c>
      <c r="K40" s="1478" t="s">
        <v>233</v>
      </c>
      <c r="L40" s="1478" t="s">
        <v>233</v>
      </c>
      <c r="M40" s="1478" t="s">
        <v>233</v>
      </c>
      <c r="N40" s="1478" t="s">
        <v>233</v>
      </c>
      <c r="O40" s="1478" t="s">
        <v>233</v>
      </c>
      <c r="P40" s="1478" t="s">
        <v>233</v>
      </c>
      <c r="Q40" s="1478" t="s">
        <v>233</v>
      </c>
      <c r="R40" s="2061" t="s">
        <v>642</v>
      </c>
      <c r="S40" s="2079" t="s">
        <v>621</v>
      </c>
      <c r="T40" s="2079" t="s">
        <v>622</v>
      </c>
      <c r="U40" s="2079" t="s">
        <v>261</v>
      </c>
      <c r="V40" s="2054" t="s">
        <v>623</v>
      </c>
      <c r="W40" s="2054" t="s">
        <v>624</v>
      </c>
      <c r="X40" s="2054" t="s">
        <v>629</v>
      </c>
      <c r="Y40" s="2055" t="s">
        <v>625</v>
      </c>
      <c r="Z40" s="2056"/>
      <c r="AA40" s="2056"/>
      <c r="AB40" s="2057"/>
      <c r="AC40" s="2087" t="s">
        <v>638</v>
      </c>
      <c r="AD40" s="2088"/>
      <c r="AE40" s="2088"/>
      <c r="AF40" s="2089"/>
    </row>
    <row r="41" spans="1:32" ht="18">
      <c r="A41" s="2061"/>
      <c r="B41" s="2077"/>
      <c r="C41" s="2077"/>
      <c r="D41" s="2061"/>
      <c r="E41" s="2061"/>
      <c r="F41" s="1478">
        <v>4.5</v>
      </c>
      <c r="G41" s="1478">
        <v>3.5</v>
      </c>
      <c r="H41" s="1478">
        <v>4.5</v>
      </c>
      <c r="I41" s="1478">
        <v>3.5</v>
      </c>
      <c r="J41" s="1478">
        <v>4.5</v>
      </c>
      <c r="K41" s="1478">
        <v>3.5</v>
      </c>
      <c r="L41" s="1478">
        <v>4.5</v>
      </c>
      <c r="M41" s="1478">
        <v>3.5</v>
      </c>
      <c r="N41" s="1478">
        <v>4.5</v>
      </c>
      <c r="O41" s="1478">
        <v>3.5</v>
      </c>
      <c r="P41" s="1478">
        <v>4.5</v>
      </c>
      <c r="Q41" s="1478">
        <v>3.5</v>
      </c>
      <c r="R41" s="2061"/>
      <c r="S41" s="2079"/>
      <c r="T41" s="2079"/>
      <c r="U41" s="2079"/>
      <c r="V41" s="2054"/>
      <c r="W41" s="2054"/>
      <c r="X41" s="2054"/>
      <c r="Y41" s="1465" t="s">
        <v>675</v>
      </c>
      <c r="Z41" s="1465" t="s">
        <v>640</v>
      </c>
      <c r="AA41" s="1465" t="s">
        <v>675</v>
      </c>
      <c r="AB41" s="1465" t="s">
        <v>640</v>
      </c>
      <c r="AC41" s="1465" t="s">
        <v>675</v>
      </c>
      <c r="AD41" s="1465" t="s">
        <v>640</v>
      </c>
      <c r="AE41" s="1465" t="s">
        <v>675</v>
      </c>
      <c r="AF41" s="1465" t="s">
        <v>640</v>
      </c>
    </row>
    <row r="42" spans="1:32" ht="18">
      <c r="A42" s="2061"/>
      <c r="B42" s="2078"/>
      <c r="C42" s="2078"/>
      <c r="D42" s="1478" t="s">
        <v>100</v>
      </c>
      <c r="E42" s="1478" t="s">
        <v>101</v>
      </c>
      <c r="F42" s="2073" t="s">
        <v>100</v>
      </c>
      <c r="G42" s="2075"/>
      <c r="H42" s="2073" t="s">
        <v>101</v>
      </c>
      <c r="I42" s="2075"/>
      <c r="J42" s="2073" t="s">
        <v>100</v>
      </c>
      <c r="K42" s="2075"/>
      <c r="L42" s="2073" t="s">
        <v>101</v>
      </c>
      <c r="M42" s="2075"/>
      <c r="N42" s="2073" t="s">
        <v>100</v>
      </c>
      <c r="O42" s="2075"/>
      <c r="P42" s="2073" t="s">
        <v>101</v>
      </c>
      <c r="Q42" s="2075"/>
      <c r="R42" s="2061"/>
      <c r="S42" s="2079"/>
      <c r="T42" s="2079"/>
      <c r="U42" s="2079"/>
      <c r="V42" s="2054"/>
      <c r="W42" s="2054"/>
      <c r="X42" s="2054"/>
      <c r="Y42" s="1465" t="s">
        <v>639</v>
      </c>
      <c r="Z42" s="1465" t="s">
        <v>639</v>
      </c>
      <c r="AA42" s="1465" t="s">
        <v>641</v>
      </c>
      <c r="AB42" s="1465" t="s">
        <v>101</v>
      </c>
      <c r="AC42" s="1465" t="s">
        <v>639</v>
      </c>
      <c r="AD42" s="1465" t="s">
        <v>639</v>
      </c>
      <c r="AE42" s="1465" t="s">
        <v>641</v>
      </c>
      <c r="AF42" s="1465" t="s">
        <v>101</v>
      </c>
    </row>
    <row r="43" spans="1:32" ht="16.2">
      <c r="A43" s="32" t="s">
        <v>1773</v>
      </c>
      <c r="B43" s="2069">
        <v>1.84</v>
      </c>
      <c r="C43" s="2069">
        <v>1.57</v>
      </c>
      <c r="D43" s="417">
        <v>2.38</v>
      </c>
      <c r="E43" s="417">
        <v>2.06</v>
      </c>
      <c r="F43" s="2062">
        <f>'[6]Equipment Results Matrix'!$T$63+'[6]Equipment Results Matrix'!$R$56*$B$43+'[6]Equipment Results Matrix'!$R$57*$F$41+'[6]Equipment Results Matrix'!$R$58+'[6]Equipment Results Matrix'!$R$60+'[6]Equipment Results Matrix'!$R$65+'[6]Equipment Results Matrix'!$R$69+'[6]Equipment Results Matrix'!$R$79+'[6]Equipment Results Matrix'!$R$82+'[6]Equipment Results Matrix'!$R$91</f>
        <v>905.42085912493212</v>
      </c>
      <c r="G43" s="2062">
        <f>'[6]Equipment Results Matrix'!$T$63+'[6]Equipment Results Matrix'!$R$56*$B$43+'[6]Equipment Results Matrix'!$R$57*$G$41+'[6]Equipment Results Matrix'!$R$58+'[6]Equipment Results Matrix'!$R$60+'[6]Equipment Results Matrix'!$R$65+'[6]Equipment Results Matrix'!$R$69+'[6]Equipment Results Matrix'!$R$79+'[6]Equipment Results Matrix'!$R$82+'[6]Equipment Results Matrix'!$R$91</f>
        <v>671.87162742493217</v>
      </c>
      <c r="H43" s="2062">
        <f>'[6]Equipment Results Matrix'!$T$35+'[6]Equipment Results Matrix'!$R$28*$C$43+'[6]Equipment Results Matrix'!$R$29*$H$41+'[6]Equipment Results Matrix'!$R$30+'[6]Equipment Results Matrix'!$R$33+'[6]Equipment Results Matrix'!$R$37+'[6]Equipment Results Matrix'!$R$39+'[6]Equipment Results Matrix'!$R$48</f>
        <v>681.36682270138783</v>
      </c>
      <c r="I43" s="2062">
        <f>'[6]Equipment Results Matrix'!$T$35+'[6]Equipment Results Matrix'!$R$28*$C$43+'[6]Equipment Results Matrix'!$R$29*I41+'[6]Equipment Results Matrix'!$R$30+'[6]Equipment Results Matrix'!$R$33+'[6]Equipment Results Matrix'!$R$37+'[6]Equipment Results Matrix'!$R$39+'[6]Equipment Results Matrix'!$R$48</f>
        <v>478.43541680138765</v>
      </c>
      <c r="J43" s="418">
        <f>'[6]Equipment Results Matrix'!$T$63+'[6]Equipment Results Matrix'!$R$56*$D43+'[6]Equipment Results Matrix'!$R$57*J$41+'[6]Equipment Results Matrix'!$R$58+'[6]Equipment Results Matrix'!$R$60+'[6]Equipment Results Matrix'!$R$65+'[6]Equipment Results Matrix'!$R$69+'[6]Equipment Results Matrix'!$R$79+'[6]Equipment Results Matrix'!$R$82+'[6]Equipment Results Matrix'!$R$91</f>
        <v>921.02620588693208</v>
      </c>
      <c r="K43" s="418">
        <f>'[6]Equipment Results Matrix'!$T$63+'[6]Equipment Results Matrix'!$R$56*$D43+'[6]Equipment Results Matrix'!$R$57*K$26+'[6]Equipment Results Matrix'!$R$58+'[6]Equipment Results Matrix'!$R$60+'[6]Equipment Results Matrix'!$R$65+'[6]Equipment Results Matrix'!$R$69+'[6]Equipment Results Matrix'!$R$79+'[6]Equipment Results Matrix'!$R$82+'[6]Equipment Results Matrix'!$R$91</f>
        <v>687.47697418693213</v>
      </c>
      <c r="L43" s="418">
        <f>'[6]Equipment Results Matrix'!$T$35+'[6]Equipment Results Matrix'!$R$28*$E43+'[6]Equipment Results Matrix'!$R$29*L$41+'[6]Equipment Results Matrix'!$R$30+'[6]Equipment Results Matrix'!$R$33+'[6]Equipment Results Matrix'!$R$37+'[6]Equipment Results Matrix'!$R$39+'[6]Equipment Results Matrix'!$R$48</f>
        <v>700.43188970138783</v>
      </c>
      <c r="M43" s="418">
        <f>'[6]Equipment Results Matrix'!$T$35+'[6]Equipment Results Matrix'!$R$28*$E43+'[6]Equipment Results Matrix'!$R$29*M$41+'[6]Equipment Results Matrix'!$R$30+'[6]Equipment Results Matrix'!$R$33+'[6]Equipment Results Matrix'!$R$37+'[6]Equipment Results Matrix'!$R$39+'[6]Equipment Results Matrix'!$R$48</f>
        <v>497.50048380138765</v>
      </c>
      <c r="N43" s="418">
        <f t="shared" ref="N43:Q44" si="22">J43-F$28</f>
        <v>15.605346761999954</v>
      </c>
      <c r="O43" s="418">
        <f t="shared" si="22"/>
        <v>15.605346761999954</v>
      </c>
      <c r="P43" s="418">
        <f t="shared" si="22"/>
        <v>29.959390999999982</v>
      </c>
      <c r="Q43" s="418">
        <f t="shared" si="22"/>
        <v>29.959390999999982</v>
      </c>
      <c r="R43" s="2062" t="s">
        <v>720</v>
      </c>
      <c r="S43" s="218">
        <v>0.05</v>
      </c>
      <c r="T43" s="219">
        <v>14</v>
      </c>
      <c r="U43" s="217">
        <v>5</v>
      </c>
      <c r="V43" s="418">
        <f>((1+$S43)^U43-1)/($S43*(1+$S43)^U43)</f>
        <v>4.3294766706308208</v>
      </c>
      <c r="W43" s="3">
        <f>((1+$S43)^T43-1)/($S43*(1+$S43)^T43)</f>
        <v>9.8986409400896225</v>
      </c>
      <c r="X43" s="3">
        <f>V43/W43</f>
        <v>0.43738091893972886</v>
      </c>
      <c r="Y43" s="2065">
        <f>F43*$X$43</f>
        <v>396.01380739126159</v>
      </c>
      <c r="Z43" s="2065">
        <f t="shared" ref="Z43:AA43" si="23">G43*$X$43</f>
        <v>293.86382981264796</v>
      </c>
      <c r="AA43" s="2065">
        <f t="shared" si="23"/>
        <v>298.01684704817632</v>
      </c>
      <c r="AB43" s="2065">
        <f>I43*$X$43</f>
        <v>209.25852225390312</v>
      </c>
      <c r="AC43" s="9">
        <f t="shared" ref="AC43:AE44" si="24">Y$43+N43</f>
        <v>411.61915415326155</v>
      </c>
      <c r="AD43" s="9">
        <f t="shared" si="24"/>
        <v>309.46917657464792</v>
      </c>
      <c r="AE43" s="9">
        <f t="shared" si="24"/>
        <v>327.9762380481763</v>
      </c>
      <c r="AF43" s="9">
        <f>AB$43+Q43</f>
        <v>239.21791325390311</v>
      </c>
    </row>
    <row r="44" spans="1:32" ht="32.4">
      <c r="A44" s="32" t="s">
        <v>1774</v>
      </c>
      <c r="B44" s="2070"/>
      <c r="C44" s="2070"/>
      <c r="D44" s="417">
        <v>2.74</v>
      </c>
      <c r="E44" s="417">
        <v>2.76</v>
      </c>
      <c r="F44" s="2063"/>
      <c r="G44" s="2063"/>
      <c r="H44" s="2063"/>
      <c r="I44" s="2063"/>
      <c r="J44" s="418">
        <f>'[6]Equipment Results Matrix'!$T$63+'[6]Equipment Results Matrix'!$R$56*$D44+'[6]Equipment Results Matrix'!$R$57*J$41+'[6]Equipment Results Matrix'!$R$58+'[6]Equipment Results Matrix'!$R$60+'[6]Equipment Results Matrix'!$R$65+'[6]Equipment Results Matrix'!$R$69+'[6]Equipment Results Matrix'!$R$79+'[6]Equipment Results Matrix'!$R$82+'[6]Equipment Results Matrix'!$R$91</f>
        <v>931.42977039493212</v>
      </c>
      <c r="K44" s="418">
        <f>'[6]Equipment Results Matrix'!$T$63+'[6]Equipment Results Matrix'!$R$56*$D44+'[6]Equipment Results Matrix'!$R$57*K$26+'[6]Equipment Results Matrix'!$R$58+'[6]Equipment Results Matrix'!$R$60+'[6]Equipment Results Matrix'!$R$65+'[6]Equipment Results Matrix'!$R$69+'[6]Equipment Results Matrix'!$R$79+'[6]Equipment Results Matrix'!$R$82+'[6]Equipment Results Matrix'!$R$91</f>
        <v>697.88053869493217</v>
      </c>
      <c r="L44" s="418">
        <f>'[6]Equipment Results Matrix'!$T$35+'[6]Equipment Results Matrix'!$R$28*$E44+'[6]Equipment Results Matrix'!$R$29*L$41+'[6]Equipment Results Matrix'!$R$30+'[6]Equipment Results Matrix'!$R$33+'[6]Equipment Results Matrix'!$R$37+'[6]Equipment Results Matrix'!$R$39+'[6]Equipment Results Matrix'!$R$48</f>
        <v>727.66769970138785</v>
      </c>
      <c r="M44" s="418">
        <f>'[6]Equipment Results Matrix'!$T$35+'[6]Equipment Results Matrix'!$R$28*$E44+'[6]Equipment Results Matrix'!$R$29*M$41+'[6]Equipment Results Matrix'!$R$30+'[6]Equipment Results Matrix'!$R$33+'[6]Equipment Results Matrix'!$R$37+'[6]Equipment Results Matrix'!$R$39+'[6]Equipment Results Matrix'!$R$48</f>
        <v>524.73629380138766</v>
      </c>
      <c r="N44" s="418">
        <f t="shared" si="22"/>
        <v>26.008911269999999</v>
      </c>
      <c r="O44" s="418">
        <f t="shared" si="22"/>
        <v>26.008911269999999</v>
      </c>
      <c r="P44" s="418">
        <f t="shared" si="22"/>
        <v>57.195200999999997</v>
      </c>
      <c r="Q44" s="418">
        <f t="shared" si="22"/>
        <v>57.195200999999997</v>
      </c>
      <c r="R44" s="2063"/>
      <c r="S44" s="183">
        <v>0.05</v>
      </c>
      <c r="T44" s="217">
        <v>14</v>
      </c>
      <c r="U44" s="217">
        <v>5</v>
      </c>
      <c r="V44" s="418">
        <f t="shared" ref="V44:V45" si="25">((1+$S44)^U44-1)/($S44*(1+$S44)^U44)</f>
        <v>4.3294766706308208</v>
      </c>
      <c r="W44" s="3">
        <f>((1+$S44)^T44-1)/($S44*(1+$S44)^T44)</f>
        <v>9.8986409400896225</v>
      </c>
      <c r="X44" s="3">
        <f t="shared" ref="X44:X45" si="26">V44/W44</f>
        <v>0.43738091893972886</v>
      </c>
      <c r="Y44" s="2065"/>
      <c r="Z44" s="2065"/>
      <c r="AA44" s="2065"/>
      <c r="AB44" s="2065"/>
      <c r="AC44" s="9">
        <f t="shared" si="24"/>
        <v>422.02271866126159</v>
      </c>
      <c r="AD44" s="9">
        <f t="shared" si="24"/>
        <v>319.87274108264796</v>
      </c>
      <c r="AE44" s="9">
        <f t="shared" si="24"/>
        <v>355.21204804817631</v>
      </c>
      <c r="AF44" s="9">
        <f>AB$43+Q44</f>
        <v>266.45372325390315</v>
      </c>
    </row>
    <row r="45" spans="1:32" ht="16.2">
      <c r="A45" s="32" t="s">
        <v>1775</v>
      </c>
      <c r="B45" s="2071"/>
      <c r="C45" s="2071"/>
      <c r="D45" s="417">
        <v>2.92</v>
      </c>
      <c r="E45" s="417" t="s">
        <v>102</v>
      </c>
      <c r="F45" s="2064"/>
      <c r="G45" s="2064"/>
      <c r="H45" s="2064"/>
      <c r="I45" s="2064"/>
      <c r="J45" s="418">
        <f>'[6]Equipment Results Matrix'!$T$63+'[6]Equipment Results Matrix'!$R$56*$D45+'[6]Equipment Results Matrix'!$R$57*J$41+'[6]Equipment Results Matrix'!$R$58+'[6]Equipment Results Matrix'!$R$60+'[6]Equipment Results Matrix'!$R$65+'[6]Equipment Results Matrix'!$R$69+'[6]Equipment Results Matrix'!$R$79+'[6]Equipment Results Matrix'!$R$82+'[6]Equipment Results Matrix'!$R$91</f>
        <v>936.63155264893214</v>
      </c>
      <c r="K45" s="418">
        <f>'[6]Equipment Results Matrix'!$T$63+'[6]Equipment Results Matrix'!$R$56*$D45+'[6]Equipment Results Matrix'!$R$57*K$26+'[6]Equipment Results Matrix'!$R$58+'[6]Equipment Results Matrix'!$R$60+'[6]Equipment Results Matrix'!$R$65+'[6]Equipment Results Matrix'!$R$69+'[6]Equipment Results Matrix'!$R$79+'[6]Equipment Results Matrix'!$R$82+'[6]Equipment Results Matrix'!$R$91</f>
        <v>703.08232094893208</v>
      </c>
      <c r="L45" s="418" t="s">
        <v>22</v>
      </c>
      <c r="M45" s="418" t="s">
        <v>22</v>
      </c>
      <c r="N45" s="418">
        <f>J45-F$28</f>
        <v>31.210693524000021</v>
      </c>
      <c r="O45" s="418">
        <f>K45-G$28</f>
        <v>31.210693523999907</v>
      </c>
      <c r="P45" s="418" t="s">
        <v>22</v>
      </c>
      <c r="Q45" s="418" t="s">
        <v>22</v>
      </c>
      <c r="R45" s="2064"/>
      <c r="S45" s="183">
        <v>0.05</v>
      </c>
      <c r="T45" s="217">
        <v>14</v>
      </c>
      <c r="U45" s="217">
        <v>5</v>
      </c>
      <c r="V45" s="418">
        <f t="shared" si="25"/>
        <v>4.3294766706308208</v>
      </c>
      <c r="W45" s="3">
        <f>((1+$S45)^T45-1)/($S45*(1+$S45)^T45)</f>
        <v>9.8986409400896225</v>
      </c>
      <c r="X45" s="3">
        <f t="shared" si="26"/>
        <v>0.43738091893972886</v>
      </c>
      <c r="Y45" s="2065"/>
      <c r="Z45" s="2065"/>
      <c r="AA45" s="2065"/>
      <c r="AB45" s="2065"/>
      <c r="AC45" s="9">
        <f t="shared" ref="AC45" si="27">Y$43+N45</f>
        <v>427.22450091526161</v>
      </c>
      <c r="AD45" s="9">
        <f t="shared" ref="AD45" si="28">Z$43+O45</f>
        <v>325.07452333664787</v>
      </c>
      <c r="AE45" s="9" t="s">
        <v>22</v>
      </c>
      <c r="AF45" s="9" t="s">
        <v>22</v>
      </c>
    </row>
    <row r="46" spans="1:32" ht="16.2">
      <c r="A46" s="2090" t="s">
        <v>466</v>
      </c>
      <c r="B46" s="2091"/>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row>
    <row r="47" spans="1:32" ht="16.2">
      <c r="A47" s="32" t="s">
        <v>1773</v>
      </c>
      <c r="B47" s="2069">
        <v>1.84</v>
      </c>
      <c r="C47" s="2069">
        <v>1.57</v>
      </c>
      <c r="D47" s="417">
        <v>2.38</v>
      </c>
      <c r="E47" s="417">
        <v>2.06</v>
      </c>
      <c r="F47" s="2062">
        <f>F43*[7]Inflation!$D$3</f>
        <v>976.21894512133417</v>
      </c>
      <c r="G47" s="2062">
        <f>G43*[7]Inflation!$D$3</f>
        <v>724.40766608318165</v>
      </c>
      <c r="H47" s="2062">
        <f>H43*[7]Inflation!$D$3</f>
        <v>734.64532454121775</v>
      </c>
      <c r="I47" s="2062">
        <f>I43*[7]Inflation!$D$3</f>
        <v>515.84598829536219</v>
      </c>
      <c r="J47" s="418">
        <f>J43*[7]Inflation!$D$3</f>
        <v>993.04452960033075</v>
      </c>
      <c r="K47" s="418">
        <f>K43*[7]Inflation!$D$3</f>
        <v>741.23325056217834</v>
      </c>
      <c r="L47" s="418">
        <f>L43*[7]Inflation!$D$3</f>
        <v>755.20115712209656</v>
      </c>
      <c r="M47" s="418">
        <f>M43*[7]Inflation!$D$3</f>
        <v>536.401820876241</v>
      </c>
      <c r="N47" s="418">
        <f>N43*[7]Inflation!$D$3</f>
        <v>16.825584478996596</v>
      </c>
      <c r="O47" s="418">
        <f>O43*[7]Inflation!$D$3</f>
        <v>16.825584478996596</v>
      </c>
      <c r="P47" s="418">
        <f>P43*[7]Inflation!$D$3</f>
        <v>32.302022627095248</v>
      </c>
      <c r="Q47" s="418">
        <f>Q43*[7]Inflation!$D$3</f>
        <v>32.302022627095248</v>
      </c>
      <c r="R47" s="2062" t="s">
        <v>720</v>
      </c>
      <c r="S47" s="218">
        <v>0.05</v>
      </c>
      <c r="T47" s="219">
        <v>14</v>
      </c>
      <c r="U47" s="217">
        <v>5</v>
      </c>
      <c r="V47" s="418">
        <f>((1+$S47)^U47-1)/($S47*(1+$S47)^U47)</f>
        <v>4.3294766706308208</v>
      </c>
      <c r="W47" s="3">
        <f>((1+$S47)^T47-1)/($S47*(1+$S47)^T47)</f>
        <v>9.8986409400896225</v>
      </c>
      <c r="X47" s="3">
        <f>V47/W47</f>
        <v>0.43738091893972886</v>
      </c>
      <c r="Y47" s="2065">
        <f>Y43*[7]Inflation!$D$3</f>
        <v>426.97953930354186</v>
      </c>
      <c r="Z47" s="2065">
        <f>Z43*[7]Inflation!$D$3</f>
        <v>316.84209067844625</v>
      </c>
      <c r="AA47" s="2065">
        <f>AA43*[7]Inflation!$D$3</f>
        <v>321.31984714261313</v>
      </c>
      <c r="AB47" s="2065">
        <f>AB43*[7]Inflation!$D$3</f>
        <v>225.62119239199811</v>
      </c>
      <c r="AC47" s="9">
        <f>AC43*[7]Inflation!$D$3</f>
        <v>443.80512378253843</v>
      </c>
      <c r="AD47" s="9">
        <f>AD43*[7]Inflation!$D$3</f>
        <v>333.66767515744283</v>
      </c>
      <c r="AE47" s="9">
        <f>AE43*[7]Inflation!$D$3</f>
        <v>353.62186976970838</v>
      </c>
      <c r="AF47" s="9">
        <f>AF43*[7]Inflation!$D$3</f>
        <v>257.92321501909339</v>
      </c>
    </row>
    <row r="48" spans="1:32" ht="32.4">
      <c r="A48" s="32" t="s">
        <v>1774</v>
      </c>
      <c r="B48" s="2070"/>
      <c r="C48" s="2070"/>
      <c r="D48" s="417">
        <v>2.74</v>
      </c>
      <c r="E48" s="417">
        <v>2.76</v>
      </c>
      <c r="F48" s="2063"/>
      <c r="G48" s="2063"/>
      <c r="H48" s="2063"/>
      <c r="I48" s="2063"/>
      <c r="J48" s="418">
        <f>J44*[7]Inflation!$D$3</f>
        <v>1004.2615859196619</v>
      </c>
      <c r="K48" s="418">
        <f>K44*[7]Inflation!$D$3</f>
        <v>752.45030688150939</v>
      </c>
      <c r="L48" s="418">
        <f>L44*[7]Inflation!$D$3</f>
        <v>784.56663223763769</v>
      </c>
      <c r="M48" s="418">
        <f>M44*[7]Inflation!$D$3</f>
        <v>565.76729599178213</v>
      </c>
      <c r="N48" s="418">
        <f>N44*[7]Inflation!$D$3</f>
        <v>28.042640798327742</v>
      </c>
      <c r="O48" s="418">
        <f>O44*[7]Inflation!$D$3</f>
        <v>28.042640798327742</v>
      </c>
      <c r="P48" s="418">
        <f>P44*[7]Inflation!$D$3</f>
        <v>61.667497742636414</v>
      </c>
      <c r="Q48" s="418">
        <f>Q44*[7]Inflation!$D$3</f>
        <v>61.667497742636414</v>
      </c>
      <c r="R48" s="2063"/>
      <c r="S48" s="183">
        <v>0.05</v>
      </c>
      <c r="T48" s="217">
        <v>14</v>
      </c>
      <c r="U48" s="217">
        <v>5</v>
      </c>
      <c r="V48" s="418">
        <f t="shared" ref="V48:V49" si="29">((1+$S48)^U48-1)/($S48*(1+$S48)^U48)</f>
        <v>4.3294766706308208</v>
      </c>
      <c r="W48" s="3">
        <f>((1+$S48)^T48-1)/($S48*(1+$S48)^T48)</f>
        <v>9.8986409400896225</v>
      </c>
      <c r="X48" s="3">
        <f t="shared" ref="X48:X49" si="30">V48/W48</f>
        <v>0.43738091893972886</v>
      </c>
      <c r="Y48" s="2065"/>
      <c r="Z48" s="2065"/>
      <c r="AA48" s="2065"/>
      <c r="AB48" s="2065"/>
      <c r="AC48" s="9">
        <f>AC44*[7]Inflation!$D$3</f>
        <v>455.02218010186959</v>
      </c>
      <c r="AD48" s="9">
        <f>AD44*[7]Inflation!$D$3</f>
        <v>344.88473147677399</v>
      </c>
      <c r="AE48" s="9">
        <f>AE44*[7]Inflation!$D$3</f>
        <v>382.98734488524957</v>
      </c>
      <c r="AF48" s="9">
        <f>AF44*[7]Inflation!$D$3</f>
        <v>287.28869013463458</v>
      </c>
    </row>
    <row r="49" spans="1:32" ht="16.2">
      <c r="A49" s="32" t="s">
        <v>1775</v>
      </c>
      <c r="B49" s="2071"/>
      <c r="C49" s="2071"/>
      <c r="D49" s="417">
        <v>2.92</v>
      </c>
      <c r="E49" s="417" t="s">
        <v>102</v>
      </c>
      <c r="F49" s="2064"/>
      <c r="G49" s="2064"/>
      <c r="H49" s="2064"/>
      <c r="I49" s="2064"/>
      <c r="J49" s="418">
        <f>J45*[7]Inflation!$D$3</f>
        <v>1009.8701140793274</v>
      </c>
      <c r="K49" s="418">
        <f>K45*[7]Inflation!$D$3</f>
        <v>758.05883504117492</v>
      </c>
      <c r="L49" s="418" t="s">
        <v>22</v>
      </c>
      <c r="M49" s="418" t="s">
        <v>22</v>
      </c>
      <c r="N49" s="418">
        <f>N45*[7]Inflation!$D$3</f>
        <v>33.651168957993313</v>
      </c>
      <c r="O49" s="418">
        <f>O45*[7]Inflation!$D$3</f>
        <v>33.651168957993193</v>
      </c>
      <c r="P49" s="418" t="s">
        <v>22</v>
      </c>
      <c r="Q49" s="418" t="s">
        <v>22</v>
      </c>
      <c r="R49" s="2064"/>
      <c r="S49" s="183">
        <v>0.05</v>
      </c>
      <c r="T49" s="217">
        <v>14</v>
      </c>
      <c r="U49" s="217">
        <v>5</v>
      </c>
      <c r="V49" s="418">
        <f t="shared" si="29"/>
        <v>4.3294766706308208</v>
      </c>
      <c r="W49" s="3">
        <f>((1+$S49)^T49-1)/($S49*(1+$S49)^T49)</f>
        <v>9.8986409400896225</v>
      </c>
      <c r="X49" s="3">
        <f t="shared" si="30"/>
        <v>0.43738091893972886</v>
      </c>
      <c r="Y49" s="2065"/>
      <c r="Z49" s="2065"/>
      <c r="AA49" s="2065"/>
      <c r="AB49" s="2065"/>
      <c r="AC49" s="9">
        <f>AC45*[7]Inflation!$D$3</f>
        <v>460.63070826153518</v>
      </c>
      <c r="AD49" s="9">
        <f>AD45*[7]Inflation!$D$3</f>
        <v>350.49325963643946</v>
      </c>
      <c r="AE49" s="9" t="s">
        <v>22</v>
      </c>
      <c r="AF49" s="9" t="s">
        <v>22</v>
      </c>
    </row>
  </sheetData>
  <mergeCells count="126">
    <mergeCell ref="W14:W16"/>
    <mergeCell ref="X14:X16"/>
    <mergeCell ref="W17:W19"/>
    <mergeCell ref="X17:X19"/>
    <mergeCell ref="AC11:AJ11"/>
    <mergeCell ref="AC12:AC13"/>
    <mergeCell ref="AC14:AC19"/>
    <mergeCell ref="AF14:AF16"/>
    <mergeCell ref="AG14:AG16"/>
    <mergeCell ref="AF17:AF19"/>
    <mergeCell ref="AG17:AG19"/>
    <mergeCell ref="A12:A13"/>
    <mergeCell ref="A11:H11"/>
    <mergeCell ref="A23:AF23"/>
    <mergeCell ref="C25:C27"/>
    <mergeCell ref="D25:E26"/>
    <mergeCell ref="R25:R27"/>
    <mergeCell ref="S25:S27"/>
    <mergeCell ref="T25:T27"/>
    <mergeCell ref="U25:U27"/>
    <mergeCell ref="J11:Q11"/>
    <mergeCell ref="J12:J13"/>
    <mergeCell ref="M14:M16"/>
    <mergeCell ref="N14:N16"/>
    <mergeCell ref="D17:D19"/>
    <mergeCell ref="E17:E19"/>
    <mergeCell ref="A14:A19"/>
    <mergeCell ref="M17:M19"/>
    <mergeCell ref="N17:N19"/>
    <mergeCell ref="J14:J19"/>
    <mergeCell ref="D14:D16"/>
    <mergeCell ref="E14:E16"/>
    <mergeCell ref="T11:AA11"/>
    <mergeCell ref="T12:T13"/>
    <mergeCell ref="T14:T19"/>
    <mergeCell ref="I47:I49"/>
    <mergeCell ref="R47:R49"/>
    <mergeCell ref="Y47:Y49"/>
    <mergeCell ref="Z47:Z49"/>
    <mergeCell ref="AA47:AA49"/>
    <mergeCell ref="AB47:AB49"/>
    <mergeCell ref="R43:R45"/>
    <mergeCell ref="Y43:Y45"/>
    <mergeCell ref="Z43:Z45"/>
    <mergeCell ref="AA43:AA45"/>
    <mergeCell ref="AB43:AB45"/>
    <mergeCell ref="I43:I45"/>
    <mergeCell ref="A46:AF46"/>
    <mergeCell ref="B47:B49"/>
    <mergeCell ref="C47:C49"/>
    <mergeCell ref="F47:F49"/>
    <mergeCell ref="G47:G49"/>
    <mergeCell ref="H47:H49"/>
    <mergeCell ref="B43:B45"/>
    <mergeCell ref="C43:C45"/>
    <mergeCell ref="F43:F45"/>
    <mergeCell ref="G43:G45"/>
    <mergeCell ref="H43:H45"/>
    <mergeCell ref="V40:V42"/>
    <mergeCell ref="W40:W42"/>
    <mergeCell ref="A38:Q38"/>
    <mergeCell ref="B32:B34"/>
    <mergeCell ref="C32:C34"/>
    <mergeCell ref="F32:F34"/>
    <mergeCell ref="G32:G34"/>
    <mergeCell ref="H32:H34"/>
    <mergeCell ref="X40:X42"/>
    <mergeCell ref="R38:AF39"/>
    <mergeCell ref="AA32:AA34"/>
    <mergeCell ref="AB32:AB34"/>
    <mergeCell ref="Y40:AB40"/>
    <mergeCell ref="AC40:AF40"/>
    <mergeCell ref="F42:G42"/>
    <mergeCell ref="H42:I42"/>
    <mergeCell ref="J42:K42"/>
    <mergeCell ref="L42:M42"/>
    <mergeCell ref="N42:O42"/>
    <mergeCell ref="P42:Q42"/>
    <mergeCell ref="A24:A27"/>
    <mergeCell ref="B24:C24"/>
    <mergeCell ref="D24:E24"/>
    <mergeCell ref="F24:I24"/>
    <mergeCell ref="J24:M24"/>
    <mergeCell ref="N24:Q24"/>
    <mergeCell ref="R24:AF24"/>
    <mergeCell ref="B25:B27"/>
    <mergeCell ref="A39:A42"/>
    <mergeCell ref="B39:C39"/>
    <mergeCell ref="D39:E39"/>
    <mergeCell ref="F39:I39"/>
    <mergeCell ref="J39:M39"/>
    <mergeCell ref="N39:Q39"/>
    <mergeCell ref="R32:R34"/>
    <mergeCell ref="Y32:Y34"/>
    <mergeCell ref="Z32:Z34"/>
    <mergeCell ref="B40:B42"/>
    <mergeCell ref="C40:C42"/>
    <mergeCell ref="D40:E41"/>
    <mergeCell ref="R40:R42"/>
    <mergeCell ref="S40:S42"/>
    <mergeCell ref="T40:T42"/>
    <mergeCell ref="U40:U42"/>
    <mergeCell ref="V25:V27"/>
    <mergeCell ref="W25:W27"/>
    <mergeCell ref="X25:X27"/>
    <mergeCell ref="Y25:AB25"/>
    <mergeCell ref="AC25:AF25"/>
    <mergeCell ref="F27:G27"/>
    <mergeCell ref="H27:I27"/>
    <mergeCell ref="J27:K27"/>
    <mergeCell ref="I32:I34"/>
    <mergeCell ref="L27:M27"/>
    <mergeCell ref="N27:O27"/>
    <mergeCell ref="P27:Q27"/>
    <mergeCell ref="R28:R30"/>
    <mergeCell ref="Y28:Y30"/>
    <mergeCell ref="Z28:Z30"/>
    <mergeCell ref="AA28:AA30"/>
    <mergeCell ref="AB28:AB30"/>
    <mergeCell ref="A31:Q31"/>
    <mergeCell ref="B28:B30"/>
    <mergeCell ref="C28:C30"/>
    <mergeCell ref="F28:F30"/>
    <mergeCell ref="G28:G30"/>
    <mergeCell ref="H28:H30"/>
    <mergeCell ref="I28:I30"/>
  </mergeCells>
  <hyperlinks>
    <hyperlink ref="A21" location="'Master Summary'!A1" display="Return To Master Summary"/>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X34"/>
  <sheetViews>
    <sheetView workbookViewId="0">
      <selection sqref="A1:E1"/>
    </sheetView>
  </sheetViews>
  <sheetFormatPr defaultColWidth="9.109375" defaultRowHeight="14.4"/>
  <cols>
    <col min="1" max="1" width="18.109375" style="95" customWidth="1"/>
    <col min="2" max="6" width="9.109375" style="95"/>
    <col min="7" max="7" width="25" style="95" customWidth="1"/>
    <col min="8" max="8" width="22.5546875" style="95" customWidth="1"/>
    <col min="9" max="16384" width="9.109375" style="95"/>
  </cols>
  <sheetData>
    <row r="1" spans="1:10" ht="45" customHeight="1">
      <c r="A1" s="2112" t="s">
        <v>340</v>
      </c>
      <c r="B1" s="2112"/>
      <c r="C1" s="2112"/>
      <c r="D1" s="2112"/>
      <c r="E1" s="2112"/>
      <c r="G1" s="2113" t="s">
        <v>341</v>
      </c>
      <c r="H1" s="2113"/>
      <c r="J1" s="100" t="s">
        <v>342</v>
      </c>
    </row>
    <row r="2" spans="1:10" ht="16.2">
      <c r="A2" s="2110" t="s">
        <v>343</v>
      </c>
      <c r="B2" s="2111" t="s">
        <v>344</v>
      </c>
      <c r="C2" s="2111"/>
      <c r="D2" s="2111"/>
      <c r="E2" s="2111"/>
      <c r="G2" s="103" t="s">
        <v>345</v>
      </c>
      <c r="H2" s="104" t="s">
        <v>74</v>
      </c>
      <c r="J2" s="28" t="s">
        <v>346</v>
      </c>
    </row>
    <row r="3" spans="1:10" ht="16.2">
      <c r="A3" s="2110"/>
      <c r="B3" s="104" t="s">
        <v>314</v>
      </c>
      <c r="C3" s="104" t="s">
        <v>347</v>
      </c>
      <c r="D3" s="104" t="s">
        <v>348</v>
      </c>
      <c r="E3" s="104" t="s">
        <v>349</v>
      </c>
      <c r="G3" s="96" t="s">
        <v>350</v>
      </c>
      <c r="H3" s="105" t="s">
        <v>351</v>
      </c>
      <c r="J3" s="28" t="s">
        <v>352</v>
      </c>
    </row>
    <row r="4" spans="1:10">
      <c r="A4" s="102">
        <v>9</v>
      </c>
      <c r="B4" s="14">
        <v>2733</v>
      </c>
      <c r="C4" s="14">
        <v>3078</v>
      </c>
      <c r="D4" s="14">
        <v>3236</v>
      </c>
      <c r="E4" s="14">
        <v>3460</v>
      </c>
      <c r="G4" s="96" t="s">
        <v>353</v>
      </c>
      <c r="H4" s="105" t="s">
        <v>354</v>
      </c>
      <c r="J4" s="100" t="s">
        <v>355</v>
      </c>
    </row>
    <row r="5" spans="1:10">
      <c r="A5" s="102">
        <v>12</v>
      </c>
      <c r="B5" s="14">
        <v>2803</v>
      </c>
      <c r="C5" s="14">
        <v>3138</v>
      </c>
      <c r="D5" s="14">
        <v>3407</v>
      </c>
      <c r="E5" s="14">
        <v>3363</v>
      </c>
      <c r="G5" s="96" t="s">
        <v>356</v>
      </c>
      <c r="H5" s="106">
        <v>0</v>
      </c>
    </row>
    <row r="6" spans="1:10">
      <c r="A6" s="102">
        <v>18</v>
      </c>
      <c r="B6" s="14">
        <v>3016</v>
      </c>
      <c r="C6" s="14">
        <v>3374</v>
      </c>
      <c r="D6" s="14">
        <v>3640</v>
      </c>
      <c r="E6" s="102" t="s">
        <v>35</v>
      </c>
    </row>
    <row r="7" spans="1:10">
      <c r="A7" s="102">
        <v>24</v>
      </c>
      <c r="B7" s="14">
        <v>3273</v>
      </c>
      <c r="C7" s="14">
        <v>3874</v>
      </c>
      <c r="D7" s="102" t="s">
        <v>35</v>
      </c>
      <c r="E7" s="102" t="s">
        <v>35</v>
      </c>
    </row>
    <row r="8" spans="1:10" ht="16.2">
      <c r="A8" s="39"/>
      <c r="G8" s="4" t="s">
        <v>634</v>
      </c>
    </row>
    <row r="10" spans="1:10">
      <c r="A10" s="2107" t="s">
        <v>357</v>
      </c>
      <c r="B10" s="2108"/>
      <c r="C10" s="2108"/>
      <c r="D10" s="2108"/>
      <c r="E10" s="2109"/>
    </row>
    <row r="11" spans="1:10">
      <c r="A11" s="2110" t="s">
        <v>343</v>
      </c>
      <c r="B11" s="2111" t="s">
        <v>344</v>
      </c>
      <c r="C11" s="2111"/>
      <c r="D11" s="2111"/>
      <c r="E11" s="2111"/>
    </row>
    <row r="12" spans="1:10">
      <c r="A12" s="2110"/>
      <c r="B12" s="104" t="s">
        <v>314</v>
      </c>
      <c r="C12" s="104" t="s">
        <v>347</v>
      </c>
      <c r="D12" s="104" t="s">
        <v>348</v>
      </c>
      <c r="E12" s="104" t="s">
        <v>349</v>
      </c>
    </row>
    <row r="13" spans="1:10">
      <c r="A13" s="102">
        <v>9</v>
      </c>
      <c r="B13" s="14">
        <f>B4-170</f>
        <v>2563</v>
      </c>
      <c r="C13" s="14">
        <f>C4-170</f>
        <v>2908</v>
      </c>
      <c r="D13" s="14">
        <f>D4-170</f>
        <v>3066</v>
      </c>
      <c r="E13" s="14">
        <f>E4-170</f>
        <v>3290</v>
      </c>
    </row>
    <row r="14" spans="1:10">
      <c r="A14" s="102">
        <v>12</v>
      </c>
      <c r="B14" s="14">
        <f t="shared" ref="B14:D16" si="0">B5-170</f>
        <v>2633</v>
      </c>
      <c r="C14" s="14">
        <f t="shared" si="0"/>
        <v>2968</v>
      </c>
      <c r="D14" s="14">
        <f t="shared" si="0"/>
        <v>3237</v>
      </c>
      <c r="E14" s="14">
        <f>E5-170</f>
        <v>3193</v>
      </c>
    </row>
    <row r="15" spans="1:10">
      <c r="A15" s="102">
        <v>18</v>
      </c>
      <c r="B15" s="14">
        <f t="shared" si="0"/>
        <v>2846</v>
      </c>
      <c r="C15" s="14">
        <f t="shared" si="0"/>
        <v>3204</v>
      </c>
      <c r="D15" s="14">
        <f t="shared" si="0"/>
        <v>3470</v>
      </c>
      <c r="E15" s="102" t="s">
        <v>35</v>
      </c>
    </row>
    <row r="16" spans="1:10">
      <c r="A16" s="102">
        <v>24</v>
      </c>
      <c r="B16" s="14">
        <f t="shared" si="0"/>
        <v>3103</v>
      </c>
      <c r="C16" s="14">
        <f t="shared" si="0"/>
        <v>3704</v>
      </c>
      <c r="D16" s="102" t="s">
        <v>35</v>
      </c>
      <c r="E16" s="102" t="s">
        <v>35</v>
      </c>
    </row>
    <row r="18" spans="1:24">
      <c r="A18" s="2107" t="s">
        <v>358</v>
      </c>
      <c r="B18" s="2108"/>
      <c r="C18" s="2108"/>
      <c r="D18" s="2108"/>
      <c r="E18" s="2109"/>
    </row>
    <row r="19" spans="1:24">
      <c r="A19" s="2110" t="s">
        <v>343</v>
      </c>
      <c r="B19" s="2111" t="s">
        <v>344</v>
      </c>
      <c r="C19" s="2111"/>
      <c r="D19" s="2111"/>
      <c r="E19" s="2111"/>
      <c r="P19" s="193"/>
      <c r="Q19" s="203"/>
      <c r="R19" s="203"/>
      <c r="S19" s="203"/>
      <c r="T19" s="203"/>
      <c r="U19" s="203"/>
      <c r="V19" s="203"/>
      <c r="W19" s="203"/>
      <c r="X19" s="204"/>
    </row>
    <row r="20" spans="1:24">
      <c r="A20" s="2110"/>
      <c r="B20" s="104" t="s">
        <v>314</v>
      </c>
      <c r="C20" s="104" t="s">
        <v>347</v>
      </c>
      <c r="D20" s="104" t="s">
        <v>348</v>
      </c>
      <c r="E20" s="104" t="s">
        <v>349</v>
      </c>
    </row>
    <row r="21" spans="1:24">
      <c r="A21" s="102">
        <v>9</v>
      </c>
      <c r="B21" s="14">
        <f>B4-1606</f>
        <v>1127</v>
      </c>
      <c r="C21" s="14">
        <f t="shared" ref="C21:E24" si="1">C4-1606</f>
        <v>1472</v>
      </c>
      <c r="D21" s="14">
        <f t="shared" si="1"/>
        <v>1630</v>
      </c>
      <c r="E21" s="14">
        <f t="shared" si="1"/>
        <v>1854</v>
      </c>
    </row>
    <row r="22" spans="1:24">
      <c r="A22" s="102">
        <v>12</v>
      </c>
      <c r="B22" s="14">
        <f>B5-1606</f>
        <v>1197</v>
      </c>
      <c r="C22" s="14">
        <f t="shared" si="1"/>
        <v>1532</v>
      </c>
      <c r="D22" s="14">
        <f t="shared" si="1"/>
        <v>1801</v>
      </c>
      <c r="E22" s="14">
        <f>E5-1606</f>
        <v>1757</v>
      </c>
    </row>
    <row r="23" spans="1:24">
      <c r="A23" s="102">
        <v>18</v>
      </c>
      <c r="B23" s="14">
        <f>B6-1606</f>
        <v>1410</v>
      </c>
      <c r="C23" s="14">
        <f t="shared" si="1"/>
        <v>1768</v>
      </c>
      <c r="D23" s="14">
        <f t="shared" si="1"/>
        <v>2034</v>
      </c>
      <c r="E23" s="102" t="s">
        <v>35</v>
      </c>
    </row>
    <row r="24" spans="1:24">
      <c r="A24" s="102">
        <v>24</v>
      </c>
      <c r="B24" s="14">
        <f>B7-1606</f>
        <v>1667</v>
      </c>
      <c r="C24" s="14">
        <f t="shared" si="1"/>
        <v>2268</v>
      </c>
      <c r="D24" s="102" t="s">
        <v>35</v>
      </c>
      <c r="E24" s="102" t="s">
        <v>35</v>
      </c>
    </row>
    <row r="25" spans="1:24">
      <c r="A25" s="67"/>
      <c r="B25" s="107"/>
      <c r="C25" s="107"/>
      <c r="D25" s="67"/>
      <c r="E25" s="67"/>
    </row>
    <row r="26" spans="1:24">
      <c r="A26" s="2107" t="s">
        <v>359</v>
      </c>
      <c r="B26" s="2108"/>
      <c r="C26" s="2108"/>
      <c r="D26" s="2108"/>
      <c r="E26" s="2109"/>
    </row>
    <row r="27" spans="1:24">
      <c r="A27" s="2110" t="s">
        <v>343</v>
      </c>
      <c r="B27" s="2111" t="s">
        <v>344</v>
      </c>
      <c r="C27" s="2111"/>
      <c r="D27" s="2111"/>
      <c r="E27" s="2111"/>
    </row>
    <row r="28" spans="1:24">
      <c r="A28" s="2110"/>
      <c r="B28" s="104" t="s">
        <v>314</v>
      </c>
      <c r="C28" s="104" t="s">
        <v>347</v>
      </c>
      <c r="D28" s="104" t="s">
        <v>348</v>
      </c>
      <c r="E28" s="104" t="s">
        <v>349</v>
      </c>
    </row>
    <row r="29" spans="1:24">
      <c r="A29" s="102">
        <v>9</v>
      </c>
      <c r="B29" s="14">
        <v>2733</v>
      </c>
      <c r="C29" s="14">
        <v>3078</v>
      </c>
      <c r="D29" s="14">
        <v>3236</v>
      </c>
      <c r="E29" s="14">
        <v>3460</v>
      </c>
    </row>
    <row r="30" spans="1:24">
      <c r="A30" s="102">
        <v>12</v>
      </c>
      <c r="B30" s="14">
        <v>2803</v>
      </c>
      <c r="C30" s="14">
        <v>3138</v>
      </c>
      <c r="D30" s="14">
        <v>3407</v>
      </c>
      <c r="E30" s="14">
        <v>3363</v>
      </c>
    </row>
    <row r="31" spans="1:24">
      <c r="A31" s="102">
        <v>18</v>
      </c>
      <c r="B31" s="14">
        <v>3016</v>
      </c>
      <c r="C31" s="14">
        <v>3374</v>
      </c>
      <c r="D31" s="14">
        <v>3640</v>
      </c>
      <c r="E31" s="102" t="s">
        <v>35</v>
      </c>
    </row>
    <row r="32" spans="1:24">
      <c r="A32" s="102">
        <v>24</v>
      </c>
      <c r="B32" s="14">
        <v>3273</v>
      </c>
      <c r="C32" s="14">
        <v>3874</v>
      </c>
      <c r="D32" s="102" t="s">
        <v>35</v>
      </c>
      <c r="E32" s="102" t="s">
        <v>35</v>
      </c>
    </row>
    <row r="34" spans="1:1" ht="21">
      <c r="A34" s="184" t="s">
        <v>634</v>
      </c>
    </row>
  </sheetData>
  <mergeCells count="13">
    <mergeCell ref="A11:A12"/>
    <mergeCell ref="B11:E11"/>
    <mergeCell ref="A1:E1"/>
    <mergeCell ref="G1:H1"/>
    <mergeCell ref="A2:A3"/>
    <mergeCell ref="B2:E2"/>
    <mergeCell ref="A10:E10"/>
    <mergeCell ref="A18:E18"/>
    <mergeCell ref="A19:A20"/>
    <mergeCell ref="B19:E19"/>
    <mergeCell ref="A26:E26"/>
    <mergeCell ref="A27:A28"/>
    <mergeCell ref="B27:E27"/>
  </mergeCells>
  <hyperlinks>
    <hyperlink ref="A34" location="'Master Summary'!A1" display="Return To Master Summary"/>
    <hyperlink ref="G8" location="'Master Summary'!A1" display="Return To Master Summary"/>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16"/>
  <sheetViews>
    <sheetView workbookViewId="0">
      <selection activeCell="C23" sqref="C23"/>
    </sheetView>
  </sheetViews>
  <sheetFormatPr defaultColWidth="9.109375" defaultRowHeight="14.4"/>
  <cols>
    <col min="1" max="1" width="10.6640625" style="95" customWidth="1"/>
    <col min="2" max="2" width="21.6640625" style="95" customWidth="1"/>
    <col min="3" max="3" width="20" style="95" customWidth="1"/>
    <col min="4" max="5" width="9.33203125" style="95" bestFit="1" customWidth="1"/>
    <col min="6" max="7" width="13.5546875" style="95" customWidth="1"/>
    <col min="8" max="8" width="14.6640625" style="95" customWidth="1"/>
    <col min="9" max="9" width="13.6640625" style="95" customWidth="1"/>
    <col min="10" max="10" width="9.33203125" style="95" bestFit="1" customWidth="1"/>
    <col min="11" max="11" width="11.44140625" style="95" bestFit="1" customWidth="1"/>
    <col min="12" max="12" width="12.6640625" style="95" customWidth="1"/>
    <col min="13" max="16384" width="9.109375" style="95"/>
  </cols>
  <sheetData>
    <row r="1" spans="1:15" ht="15" thickBot="1"/>
    <row r="2" spans="1:15">
      <c r="A2" s="2134" t="s">
        <v>1866</v>
      </c>
      <c r="B2" s="2135"/>
      <c r="C2" s="2135"/>
      <c r="D2" s="2135"/>
      <c r="E2" s="2135"/>
      <c r="F2" s="2135"/>
      <c r="G2" s="2135"/>
      <c r="H2" s="2135"/>
      <c r="I2" s="2135"/>
      <c r="J2" s="2135"/>
      <c r="K2" s="2135"/>
      <c r="L2" s="2136"/>
      <c r="M2" s="2118" t="s">
        <v>1879</v>
      </c>
      <c r="N2" s="2119"/>
      <c r="O2" s="2120"/>
    </row>
    <row r="3" spans="1:15" ht="15" thickBot="1">
      <c r="A3" s="2137"/>
      <c r="B3" s="2138"/>
      <c r="C3" s="2138"/>
      <c r="D3" s="2138"/>
      <c r="E3" s="2138"/>
      <c r="F3" s="2138"/>
      <c r="G3" s="2138"/>
      <c r="H3" s="2138"/>
      <c r="I3" s="2138"/>
      <c r="J3" s="2138"/>
      <c r="K3" s="2138"/>
      <c r="L3" s="2139"/>
      <c r="M3" s="2121"/>
      <c r="N3" s="1757"/>
      <c r="O3" s="2122"/>
    </row>
    <row r="4" spans="1:15" ht="14.4" customHeight="1">
      <c r="A4" s="2140" t="s">
        <v>1208</v>
      </c>
      <c r="B4" s="2142" t="s">
        <v>1865</v>
      </c>
      <c r="C4" s="2145" t="s">
        <v>621</v>
      </c>
      <c r="D4" s="2145" t="s">
        <v>622</v>
      </c>
      <c r="E4" s="2145" t="s">
        <v>261</v>
      </c>
      <c r="F4" s="2131" t="s">
        <v>1862</v>
      </c>
      <c r="G4" s="1586"/>
      <c r="H4" s="2147" t="s">
        <v>1859</v>
      </c>
      <c r="I4" s="2147" t="s">
        <v>1860</v>
      </c>
      <c r="J4" s="2149" t="s">
        <v>629</v>
      </c>
      <c r="K4" s="2125" t="s">
        <v>625</v>
      </c>
      <c r="L4" s="2128" t="s">
        <v>1861</v>
      </c>
      <c r="M4" s="2115" t="s">
        <v>1855</v>
      </c>
      <c r="N4" s="2116"/>
      <c r="O4" s="2117"/>
    </row>
    <row r="5" spans="1:15" ht="15" customHeight="1">
      <c r="A5" s="2141"/>
      <c r="B5" s="2143"/>
      <c r="C5" s="2146"/>
      <c r="D5" s="2146"/>
      <c r="E5" s="2146"/>
      <c r="F5" s="2132"/>
      <c r="G5" s="1587"/>
      <c r="H5" s="2148"/>
      <c r="I5" s="2148"/>
      <c r="J5" s="2150"/>
      <c r="K5" s="2126"/>
      <c r="L5" s="2129"/>
      <c r="M5" s="2115"/>
      <c r="N5" s="2116"/>
      <c r="O5" s="2117"/>
    </row>
    <row r="6" spans="1:15" ht="63.6" customHeight="1">
      <c r="A6" s="2141"/>
      <c r="B6" s="2144"/>
      <c r="C6" s="2146"/>
      <c r="D6" s="2146"/>
      <c r="E6" s="2146"/>
      <c r="F6" s="2133"/>
      <c r="G6" s="1588" t="s">
        <v>1864</v>
      </c>
      <c r="H6" s="2148"/>
      <c r="I6" s="2148"/>
      <c r="J6" s="2150"/>
      <c r="K6" s="2127"/>
      <c r="L6" s="2130"/>
      <c r="M6" s="1633" t="s">
        <v>361</v>
      </c>
      <c r="N6" s="1631" t="s">
        <v>644</v>
      </c>
      <c r="O6" s="1577" t="s">
        <v>1858</v>
      </c>
    </row>
    <row r="7" spans="1:15" ht="15">
      <c r="A7" s="1579">
        <v>1</v>
      </c>
      <c r="B7" s="2123">
        <f>Residential_ASHP!I17</f>
        <v>555.57178945707778</v>
      </c>
      <c r="C7" s="1580">
        <v>0.05</v>
      </c>
      <c r="D7" s="1581">
        <v>18</v>
      </c>
      <c r="E7" s="1581">
        <f>D7/3</f>
        <v>6</v>
      </c>
      <c r="F7" s="1585">
        <f>Residential_ASHP!$AA$17*A7</f>
        <v>937.13659421966338</v>
      </c>
      <c r="G7" s="1585">
        <f>G$8*A7/A$8</f>
        <v>266.66666666666669</v>
      </c>
      <c r="H7" s="1582">
        <f>((1+$C7)^E7-1)/($C7*(1+$C7)^E7)</f>
        <v>5.0756920672674468</v>
      </c>
      <c r="I7" s="1583">
        <f>((1+$C7)^D7-1)/($C7*(1+$C7)^D7)</f>
        <v>11.689586902650337</v>
      </c>
      <c r="J7" s="1584">
        <f>H7/I7</f>
        <v>0.43420628201298145</v>
      </c>
      <c r="K7" s="1589">
        <f>(F7+B7)*J7</f>
        <v>648.14335740588479</v>
      </c>
      <c r="L7" s="1630">
        <f>K7+G7</f>
        <v>914.81002407255141</v>
      </c>
      <c r="M7" s="1634" t="s">
        <v>362</v>
      </c>
      <c r="N7" s="1632">
        <v>603</v>
      </c>
      <c r="O7" s="1578">
        <v>3000</v>
      </c>
    </row>
    <row r="8" spans="1:15" ht="15">
      <c r="A8" s="1579">
        <v>1.5</v>
      </c>
      <c r="B8" s="2123"/>
      <c r="C8" s="1580">
        <v>0.05</v>
      </c>
      <c r="D8" s="1581">
        <v>18</v>
      </c>
      <c r="E8" s="1581">
        <f t="shared" ref="E8:E11" si="0">D8/3</f>
        <v>6</v>
      </c>
      <c r="F8" s="1585">
        <f>Residential_ASHP!$AA$17*A8</f>
        <v>1405.704891329495</v>
      </c>
      <c r="G8" s="1585">
        <v>400</v>
      </c>
      <c r="H8" s="1582">
        <f>((1+$C8)^E8-1)/($C8*(1+$C8)^E8)</f>
        <v>5.0756920672674468</v>
      </c>
      <c r="I8" s="1583">
        <f>((1+$C8)^D8-1)/($C8*(1+$C8)^D8)</f>
        <v>11.689586902650337</v>
      </c>
      <c r="J8" s="1584">
        <f t="shared" ref="J8" si="1">H8/I8</f>
        <v>0.43420628201298145</v>
      </c>
      <c r="K8" s="1589">
        <f>(F8+B7)*J8</f>
        <v>851.59865556309887</v>
      </c>
      <c r="L8" s="1630">
        <f t="shared" ref="L8:L11" si="2">K8+G8</f>
        <v>1251.5986555630989</v>
      </c>
      <c r="M8" s="1634" t="s">
        <v>363</v>
      </c>
      <c r="N8" s="1632">
        <v>624</v>
      </c>
      <c r="O8" s="1578">
        <v>3750</v>
      </c>
    </row>
    <row r="9" spans="1:15" ht="15">
      <c r="A9" s="1579">
        <v>2</v>
      </c>
      <c r="B9" s="2123"/>
      <c r="C9" s="1580">
        <v>0.05</v>
      </c>
      <c r="D9" s="1581">
        <v>18</v>
      </c>
      <c r="E9" s="1581">
        <f t="shared" si="0"/>
        <v>6</v>
      </c>
      <c r="F9" s="1585">
        <f>Residential_ASHP!$AA$17*A9</f>
        <v>1874.2731884393268</v>
      </c>
      <c r="G9" s="1585">
        <f t="shared" ref="G9:G11" si="3">G$8*A9/A$8</f>
        <v>533.33333333333337</v>
      </c>
      <c r="H9" s="1582">
        <f>((1+$C9)^E9-1)/($C9*(1+$C9)^E9)</f>
        <v>5.0756920672674468</v>
      </c>
      <c r="I9" s="1583">
        <f>((1+$C9)^D9-1)/($C9*(1+$C9)^D9)</f>
        <v>11.689586902650337</v>
      </c>
      <c r="J9" s="1584">
        <f>H9/I9</f>
        <v>0.43420628201298145</v>
      </c>
      <c r="K9" s="1589">
        <f>(F9+B7)*J9</f>
        <v>1055.0539537203128</v>
      </c>
      <c r="L9" s="1630">
        <f t="shared" si="2"/>
        <v>1588.3872870536461</v>
      </c>
      <c r="M9" s="1634" t="s">
        <v>364</v>
      </c>
      <c r="N9" s="1632">
        <v>601</v>
      </c>
      <c r="O9" s="1578">
        <v>4500</v>
      </c>
    </row>
    <row r="10" spans="1:15" ht="15">
      <c r="A10" s="1579">
        <v>2.5</v>
      </c>
      <c r="B10" s="2123"/>
      <c r="C10" s="1580">
        <v>0.05</v>
      </c>
      <c r="D10" s="1581">
        <v>18</v>
      </c>
      <c r="E10" s="1581">
        <f t="shared" si="0"/>
        <v>6</v>
      </c>
      <c r="F10" s="1585">
        <f>Residential_ASHP!$AA$17*A10</f>
        <v>2342.8414855491583</v>
      </c>
      <c r="G10" s="1585">
        <f t="shared" si="3"/>
        <v>666.66666666666663</v>
      </c>
      <c r="H10" s="1582">
        <f>((1+$C10)^E10-1)/($C10*(1+$C10)^E10)</f>
        <v>5.0756920672674468</v>
      </c>
      <c r="I10" s="1583">
        <f>((1+$C10)^D10-1)/($C10*(1+$C10)^D10)</f>
        <v>11.689586902650337</v>
      </c>
      <c r="J10" s="1584">
        <f t="shared" ref="J10" si="4">H10/I10</f>
        <v>0.43420628201298145</v>
      </c>
      <c r="K10" s="1589">
        <f>(F10+B7)*J10</f>
        <v>1258.509251877527</v>
      </c>
      <c r="L10" s="1630">
        <f t="shared" si="2"/>
        <v>1925.1759185441938</v>
      </c>
      <c r="M10" s="1634" t="s">
        <v>365</v>
      </c>
      <c r="N10" s="1632">
        <v>600</v>
      </c>
      <c r="O10" s="1578">
        <v>5250</v>
      </c>
    </row>
    <row r="11" spans="1:15" ht="15.6" thickBot="1">
      <c r="A11" s="1590">
        <v>3</v>
      </c>
      <c r="B11" s="2124"/>
      <c r="C11" s="1591">
        <v>0.05</v>
      </c>
      <c r="D11" s="1592">
        <v>18</v>
      </c>
      <c r="E11" s="1592">
        <f t="shared" si="0"/>
        <v>6</v>
      </c>
      <c r="F11" s="1593">
        <f>Residential_ASHP!$AA$17*A11</f>
        <v>2811.40978265899</v>
      </c>
      <c r="G11" s="1593">
        <f t="shared" si="3"/>
        <v>800</v>
      </c>
      <c r="H11" s="1594">
        <f>((1+$C11)^E11-1)/($C11*(1+$C11)^E11)</f>
        <v>5.0756920672674468</v>
      </c>
      <c r="I11" s="1595">
        <f>((1+$C11)^D11-1)/($C11*(1+$C11)^D11)</f>
        <v>11.689586902650337</v>
      </c>
      <c r="J11" s="1596">
        <f>H11/I11</f>
        <v>0.43420628201298145</v>
      </c>
      <c r="K11" s="1597">
        <f>(F11+B7)*J11</f>
        <v>1461.9645500347408</v>
      </c>
      <c r="L11" s="1630">
        <f t="shared" si="2"/>
        <v>2261.9645500347406</v>
      </c>
      <c r="M11" s="1635" t="s">
        <v>366</v>
      </c>
      <c r="N11" s="1636">
        <v>600</v>
      </c>
      <c r="O11" s="1637">
        <v>6000</v>
      </c>
    </row>
    <row r="12" spans="1:15" ht="45.6" customHeight="1">
      <c r="A12" s="2114" t="s">
        <v>1863</v>
      </c>
      <c r="B12" s="2114"/>
      <c r="C12" s="2114"/>
      <c r="D12" s="2114"/>
      <c r="E12" s="2114"/>
      <c r="F12" s="2114"/>
      <c r="G12" s="2114"/>
      <c r="H12" s="2114"/>
      <c r="I12" s="2114"/>
      <c r="J12" s="2114"/>
      <c r="K12" s="2114"/>
      <c r="L12" s="2114"/>
    </row>
    <row r="14" spans="1:15">
      <c r="A14" s="4" t="s">
        <v>634</v>
      </c>
    </row>
    <row r="16" spans="1:15" ht="15" customHeight="1"/>
  </sheetData>
  <mergeCells count="16">
    <mergeCell ref="A12:L12"/>
    <mergeCell ref="M4:O5"/>
    <mergeCell ref="M2:O3"/>
    <mergeCell ref="B7:B11"/>
    <mergeCell ref="K4:K6"/>
    <mergeCell ref="L4:L6"/>
    <mergeCell ref="F4:F6"/>
    <mergeCell ref="A2:L3"/>
    <mergeCell ref="A4:A6"/>
    <mergeCell ref="B4:B6"/>
    <mergeCell ref="C4:C6"/>
    <mergeCell ref="D4:D6"/>
    <mergeCell ref="E4:E6"/>
    <mergeCell ref="H4:H6"/>
    <mergeCell ref="I4:I6"/>
    <mergeCell ref="J4:J6"/>
  </mergeCells>
  <hyperlinks>
    <hyperlink ref="A14" location="'Master Summary'!A1" display="Return To Master Summary"/>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X27"/>
  <sheetViews>
    <sheetView workbookViewId="0">
      <selection activeCell="A19" sqref="A19"/>
    </sheetView>
  </sheetViews>
  <sheetFormatPr defaultColWidth="9.109375" defaultRowHeight="12"/>
  <cols>
    <col min="1" max="1" width="22.109375" style="62" customWidth="1"/>
    <col min="2" max="2" width="24" style="62" customWidth="1"/>
    <col min="3" max="16384" width="9.109375" style="62"/>
  </cols>
  <sheetData>
    <row r="1" spans="1:4">
      <c r="A1" s="2152" t="s">
        <v>184</v>
      </c>
      <c r="B1" s="2152"/>
    </row>
    <row r="2" spans="1:4" ht="24.75" customHeight="1">
      <c r="A2" s="76" t="s">
        <v>182</v>
      </c>
      <c r="B2" s="2151" t="s">
        <v>183</v>
      </c>
      <c r="C2" s="2151"/>
    </row>
    <row r="3" spans="1:4" ht="24.75" customHeight="1">
      <c r="A3" s="76"/>
      <c r="B3" s="76" t="s">
        <v>301</v>
      </c>
      <c r="C3" s="76" t="s">
        <v>302</v>
      </c>
      <c r="D3" s="94" t="s">
        <v>406</v>
      </c>
    </row>
    <row r="4" spans="1:4" ht="14.4">
      <c r="A4" s="77">
        <v>15</v>
      </c>
      <c r="B4" s="78">
        <v>170</v>
      </c>
      <c r="C4" s="79">
        <v>137</v>
      </c>
      <c r="D4" s="125">
        <v>182.76</v>
      </c>
    </row>
    <row r="5" spans="1:4" ht="14.4">
      <c r="A5" s="77">
        <v>16</v>
      </c>
      <c r="B5" s="78">
        <v>340</v>
      </c>
      <c r="C5" s="79">
        <v>274</v>
      </c>
      <c r="D5" s="125">
        <v>365.52</v>
      </c>
    </row>
    <row r="6" spans="1:4" ht="14.4">
      <c r="A6" s="77">
        <v>17</v>
      </c>
      <c r="B6" s="78">
        <v>529</v>
      </c>
      <c r="C6" s="79">
        <v>411</v>
      </c>
      <c r="D6" s="125">
        <v>548.29</v>
      </c>
    </row>
    <row r="7" spans="1:4" ht="14.4">
      <c r="A7" s="77">
        <v>18</v>
      </c>
      <c r="B7" s="78">
        <v>710</v>
      </c>
      <c r="C7" s="79">
        <v>548</v>
      </c>
      <c r="D7" s="125">
        <v>731.05</v>
      </c>
    </row>
    <row r="9" spans="1:4">
      <c r="A9" s="2152" t="s">
        <v>303</v>
      </c>
      <c r="B9" s="2152"/>
    </row>
    <row r="10" spans="1:4" ht="36.75" customHeight="1">
      <c r="A10" s="80" t="s">
        <v>186</v>
      </c>
      <c r="B10" s="2151" t="s">
        <v>187</v>
      </c>
      <c r="C10" s="2151"/>
    </row>
    <row r="11" spans="1:4">
      <c r="A11" s="76"/>
      <c r="B11" s="76" t="s">
        <v>301</v>
      </c>
      <c r="C11" s="76" t="s">
        <v>302</v>
      </c>
    </row>
    <row r="12" spans="1:4" ht="13.8">
      <c r="A12" s="81">
        <v>15</v>
      </c>
      <c r="B12" s="82">
        <v>2544</v>
      </c>
      <c r="C12" s="83">
        <v>1518</v>
      </c>
    </row>
    <row r="13" spans="1:4" ht="13.8">
      <c r="A13" s="81">
        <v>16</v>
      </c>
      <c r="B13" s="82">
        <v>3120</v>
      </c>
      <c r="C13" s="83">
        <v>1655</v>
      </c>
    </row>
    <row r="14" spans="1:4" ht="13.8">
      <c r="A14" s="81">
        <v>17</v>
      </c>
      <c r="B14" s="82">
        <v>3309</v>
      </c>
      <c r="C14" s="83">
        <v>1792</v>
      </c>
    </row>
    <row r="15" spans="1:4" ht="15" customHeight="1">
      <c r="A15" s="81">
        <v>18</v>
      </c>
      <c r="B15" s="82">
        <v>3614</v>
      </c>
      <c r="C15" s="83">
        <v>1929</v>
      </c>
    </row>
    <row r="16" spans="1:4" ht="12.75" customHeight="1"/>
    <row r="17" spans="1:24">
      <c r="A17" s="62" t="s">
        <v>188</v>
      </c>
    </row>
    <row r="19" spans="1:24" ht="21">
      <c r="A19" s="184" t="s">
        <v>634</v>
      </c>
      <c r="P19" s="209"/>
      <c r="Q19" s="210"/>
      <c r="R19" s="210"/>
      <c r="S19" s="210"/>
      <c r="T19" s="210"/>
      <c r="U19" s="210"/>
      <c r="V19" s="210"/>
      <c r="W19" s="210"/>
      <c r="X19" s="211"/>
    </row>
    <row r="21" spans="1:24" ht="12.75" customHeight="1"/>
    <row r="23" spans="1:24" ht="12.75" customHeight="1"/>
    <row r="25" spans="1:24" ht="12.75" customHeight="1"/>
    <row r="27" spans="1:24" ht="12.75" customHeight="1"/>
  </sheetData>
  <mergeCells count="4">
    <mergeCell ref="B10:C10"/>
    <mergeCell ref="A1:B1"/>
    <mergeCell ref="A9:B9"/>
    <mergeCell ref="B2:C2"/>
  </mergeCells>
  <hyperlinks>
    <hyperlink ref="A19" location="'Master Summary'!A1" display="Return To Master Summary"/>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election activeCell="G21" sqref="G21"/>
    </sheetView>
  </sheetViews>
  <sheetFormatPr defaultRowHeight="14.4"/>
  <cols>
    <col min="1" max="1" width="18.88671875" customWidth="1"/>
    <col min="2" max="2" width="20.88671875" customWidth="1"/>
  </cols>
  <sheetData>
    <row r="1" spans="1:2" s="95" customFormat="1">
      <c r="A1" s="2153" t="s">
        <v>1943</v>
      </c>
      <c r="B1" s="2153"/>
    </row>
    <row r="2" spans="1:2" ht="15" thickBot="1">
      <c r="A2" t="s">
        <v>1941</v>
      </c>
    </row>
    <row r="3" spans="1:2" ht="16.8" thickBot="1">
      <c r="A3" s="1692" t="s">
        <v>781</v>
      </c>
      <c r="B3" s="1693" t="s">
        <v>1933</v>
      </c>
    </row>
    <row r="4" spans="1:2" ht="16.8" thickBot="1">
      <c r="A4" s="1694" t="s">
        <v>1934</v>
      </c>
      <c r="B4" s="1695">
        <v>92</v>
      </c>
    </row>
    <row r="5" spans="1:2" ht="16.8" thickBot="1">
      <c r="A5" s="1694" t="s">
        <v>1935</v>
      </c>
      <c r="B5" s="1695">
        <v>184</v>
      </c>
    </row>
    <row r="6" spans="1:2" ht="16.8" thickBot="1">
      <c r="A6" s="1694" t="s">
        <v>1936</v>
      </c>
      <c r="B6" s="1695">
        <v>276</v>
      </c>
    </row>
    <row r="7" spans="1:2" ht="16.8" thickBot="1">
      <c r="A7" s="1694" t="s">
        <v>1937</v>
      </c>
      <c r="B7" s="1695">
        <v>369</v>
      </c>
    </row>
    <row r="8" spans="1:2" ht="16.8" thickBot="1">
      <c r="A8" s="1694" t="s">
        <v>1938</v>
      </c>
      <c r="B8" s="1695">
        <v>461</v>
      </c>
    </row>
    <row r="9" spans="1:2" ht="16.8" thickBot="1">
      <c r="A9" s="1694" t="s">
        <v>1939</v>
      </c>
      <c r="B9" s="1695">
        <v>553</v>
      </c>
    </row>
    <row r="10" spans="1:2" ht="16.8" thickBot="1">
      <c r="A10" s="1694" t="s">
        <v>1940</v>
      </c>
      <c r="B10" s="1695">
        <v>645</v>
      </c>
    </row>
    <row r="11" spans="1:2" ht="16.8" thickBot="1">
      <c r="A11" s="1699" t="s">
        <v>1942</v>
      </c>
    </row>
    <row r="12" spans="1:2" ht="16.8" thickBot="1">
      <c r="A12" s="1692" t="s">
        <v>186</v>
      </c>
      <c r="B12" s="1696" t="s">
        <v>187</v>
      </c>
    </row>
    <row r="13" spans="1:2" ht="16.8" thickBot="1">
      <c r="A13" s="1697">
        <v>15</v>
      </c>
      <c r="B13" s="1698">
        <v>2403</v>
      </c>
    </row>
    <row r="14" spans="1:2" ht="16.8" thickBot="1">
      <c r="A14" s="1697">
        <v>16</v>
      </c>
      <c r="B14" s="1698">
        <v>2495</v>
      </c>
    </row>
    <row r="15" spans="1:2" ht="16.8" thickBot="1">
      <c r="A15" s="1697">
        <v>17</v>
      </c>
      <c r="B15" s="1698">
        <v>2588</v>
      </c>
    </row>
    <row r="16" spans="1:2" ht="16.8" thickBot="1">
      <c r="A16" s="1697">
        <v>18</v>
      </c>
      <c r="B16" s="1698">
        <v>2680</v>
      </c>
    </row>
    <row r="17" spans="1:2" ht="16.8" thickBot="1">
      <c r="A17" s="1697">
        <v>19</v>
      </c>
      <c r="B17" s="1698">
        <v>2772</v>
      </c>
    </row>
    <row r="18" spans="1:2" ht="16.8" thickBot="1">
      <c r="A18" s="1697">
        <v>20</v>
      </c>
      <c r="B18" s="1698">
        <v>2864</v>
      </c>
    </row>
    <row r="19" spans="1:2" ht="16.8" thickBot="1">
      <c r="A19" s="1697">
        <v>21</v>
      </c>
      <c r="B19" s="1698">
        <v>2956</v>
      </c>
    </row>
  </sheetData>
  <mergeCells count="1">
    <mergeCell ref="A1: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X19"/>
  <sheetViews>
    <sheetView workbookViewId="0"/>
  </sheetViews>
  <sheetFormatPr defaultColWidth="9.109375" defaultRowHeight="14.4"/>
  <cols>
    <col min="1" max="1" width="32.33203125" style="1" customWidth="1"/>
    <col min="2" max="2" width="37.44140625" style="1" customWidth="1"/>
    <col min="3" max="3" width="24.44140625" style="1" customWidth="1"/>
    <col min="4" max="16384" width="9.109375" style="1"/>
  </cols>
  <sheetData>
    <row r="1" spans="1:13">
      <c r="A1" s="1" t="s">
        <v>155</v>
      </c>
    </row>
    <row r="2" spans="1:13" ht="18" customHeight="1">
      <c r="A2" s="2156" t="s">
        <v>202</v>
      </c>
      <c r="B2" s="2157"/>
      <c r="C2" s="2158"/>
      <c r="E2" s="1" t="s">
        <v>309</v>
      </c>
      <c r="F2" s="2159" t="s">
        <v>316</v>
      </c>
      <c r="G2" s="2159"/>
      <c r="H2" s="2159"/>
      <c r="I2" s="2159"/>
      <c r="J2" s="2159"/>
      <c r="K2" s="2159"/>
      <c r="L2" s="2159"/>
      <c r="M2" s="2159"/>
    </row>
    <row r="3" spans="1:13" ht="28.8">
      <c r="A3" s="60" t="s">
        <v>189</v>
      </c>
      <c r="B3" s="61" t="s">
        <v>190</v>
      </c>
      <c r="C3" s="61" t="s">
        <v>191</v>
      </c>
      <c r="F3" s="2159"/>
      <c r="G3" s="2159"/>
      <c r="H3" s="2159"/>
      <c r="I3" s="2159"/>
      <c r="J3" s="2159"/>
      <c r="K3" s="2159"/>
      <c r="L3" s="2159"/>
      <c r="M3" s="2159"/>
    </row>
    <row r="4" spans="1:13">
      <c r="A4" s="13" t="s">
        <v>192</v>
      </c>
      <c r="B4" s="13" t="s">
        <v>193</v>
      </c>
      <c r="C4" s="13" t="s">
        <v>194</v>
      </c>
      <c r="F4" s="2159"/>
      <c r="G4" s="2159"/>
      <c r="H4" s="2159"/>
      <c r="I4" s="2159"/>
      <c r="J4" s="2159"/>
      <c r="K4" s="2159"/>
      <c r="L4" s="2159"/>
      <c r="M4" s="2159"/>
    </row>
    <row r="5" spans="1:13">
      <c r="A5" s="13" t="s">
        <v>195</v>
      </c>
      <c r="B5" s="13" t="s">
        <v>193</v>
      </c>
      <c r="C5" s="13" t="s">
        <v>194</v>
      </c>
    </row>
    <row r="6" spans="1:13">
      <c r="A6" s="13" t="s">
        <v>196</v>
      </c>
      <c r="B6" s="13" t="s">
        <v>197</v>
      </c>
      <c r="C6" s="13" t="s">
        <v>198</v>
      </c>
    </row>
    <row r="7" spans="1:13" ht="16.2">
      <c r="A7" s="39"/>
    </row>
    <row r="8" spans="1:13" ht="16.2">
      <c r="A8" s="2156" t="s">
        <v>203</v>
      </c>
      <c r="B8" s="2157"/>
      <c r="C8" s="2158"/>
    </row>
    <row r="9" spans="1:13" ht="28.8">
      <c r="A9" s="60" t="s">
        <v>189</v>
      </c>
      <c r="B9" s="61" t="s">
        <v>190</v>
      </c>
      <c r="C9" s="61" t="s">
        <v>191</v>
      </c>
    </row>
    <row r="10" spans="1:13">
      <c r="A10" s="13" t="s">
        <v>199</v>
      </c>
      <c r="B10" s="13" t="s">
        <v>200</v>
      </c>
      <c r="C10" s="13" t="s">
        <v>201</v>
      </c>
    </row>
    <row r="11" spans="1:13">
      <c r="A11" s="13" t="s">
        <v>192</v>
      </c>
      <c r="B11" s="13" t="s">
        <v>193</v>
      </c>
      <c r="C11" s="13" t="s">
        <v>194</v>
      </c>
    </row>
    <row r="12" spans="1:13">
      <c r="A12" s="13" t="s">
        <v>195</v>
      </c>
      <c r="B12" s="13" t="s">
        <v>193</v>
      </c>
      <c r="C12" s="13" t="s">
        <v>194</v>
      </c>
    </row>
    <row r="13" spans="1:13">
      <c r="A13" s="13" t="s">
        <v>196</v>
      </c>
      <c r="B13" s="13" t="s">
        <v>197</v>
      </c>
      <c r="C13" s="13" t="s">
        <v>198</v>
      </c>
    </row>
    <row r="14" spans="1:13">
      <c r="A14" s="67"/>
      <c r="B14" s="67"/>
      <c r="C14" s="67"/>
    </row>
    <row r="15" spans="1:13">
      <c r="A15" s="2154" t="s">
        <v>185</v>
      </c>
      <c r="B15" s="2154"/>
      <c r="C15" s="2154"/>
    </row>
    <row r="16" spans="1:13" ht="38.25" customHeight="1">
      <c r="A16" s="2155" t="s">
        <v>266</v>
      </c>
      <c r="B16" s="2155"/>
      <c r="C16" s="2155"/>
    </row>
    <row r="18" spans="1:24" ht="21">
      <c r="A18" s="184" t="s">
        <v>634</v>
      </c>
    </row>
    <row r="19" spans="1:24">
      <c r="P19" s="206"/>
      <c r="Q19" s="207"/>
      <c r="R19" s="207"/>
      <c r="S19" s="207"/>
      <c r="T19" s="207"/>
      <c r="U19" s="207"/>
      <c r="V19" s="207"/>
      <c r="W19" s="207"/>
      <c r="X19" s="208"/>
    </row>
  </sheetData>
  <mergeCells count="5">
    <mergeCell ref="A15:C15"/>
    <mergeCell ref="A16:C16"/>
    <mergeCell ref="A8:C8"/>
    <mergeCell ref="A2:C2"/>
    <mergeCell ref="F2:M4"/>
  </mergeCells>
  <hyperlinks>
    <hyperlink ref="A18" location="'Master Summary'!A1" display="Return To Master Summary"/>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T16"/>
  <sheetViews>
    <sheetView zoomScale="70" zoomScaleNormal="70" workbookViewId="0">
      <selection activeCell="E14" sqref="E14"/>
    </sheetView>
  </sheetViews>
  <sheetFormatPr defaultColWidth="9.109375" defaultRowHeight="14.4"/>
  <cols>
    <col min="1" max="1" width="27.109375" style="95" customWidth="1"/>
    <col min="2" max="4" width="17.6640625" style="95" customWidth="1"/>
    <col min="5" max="5" width="27.109375" style="95" customWidth="1"/>
    <col min="6" max="6" width="23.109375" style="95" customWidth="1"/>
    <col min="7" max="7" width="22.44140625" style="95" customWidth="1"/>
    <col min="8" max="8" width="13" style="95" customWidth="1"/>
    <col min="9" max="9" width="13.33203125" style="95" customWidth="1"/>
    <col min="10" max="11" width="14" style="95" customWidth="1"/>
    <col min="12" max="12" width="13.88671875" style="95" customWidth="1"/>
    <col min="13" max="13" width="14.6640625" style="95" customWidth="1"/>
    <col min="14" max="15" width="9.109375" style="95"/>
    <col min="16" max="16" width="20.109375" style="95" customWidth="1"/>
    <col min="17" max="17" width="17.88671875" style="95" customWidth="1"/>
    <col min="18" max="18" width="16.33203125" style="95" customWidth="1"/>
    <col min="19" max="19" width="15.33203125" style="95" customWidth="1"/>
    <col min="20" max="20" width="17.109375" style="95" customWidth="1"/>
    <col min="21" max="16384" width="9.109375" style="95"/>
  </cols>
  <sheetData>
    <row r="1" spans="1:20" ht="18">
      <c r="A1" s="2166" t="s">
        <v>1919</v>
      </c>
      <c r="B1" s="2167"/>
    </row>
    <row r="2" spans="1:20">
      <c r="A2" s="1125" t="s">
        <v>230</v>
      </c>
      <c r="B2" s="1677">
        <f>K7</f>
        <v>159.06699325114039</v>
      </c>
    </row>
    <row r="3" spans="1:20" ht="15" thickBot="1">
      <c r="A3" s="1670" t="s">
        <v>170</v>
      </c>
      <c r="B3" s="1678">
        <f>K8</f>
        <v>406.95938680501172</v>
      </c>
    </row>
    <row r="5" spans="1:20" ht="18.75" customHeight="1">
      <c r="A5" s="2168" t="s">
        <v>67</v>
      </c>
      <c r="B5" s="2168"/>
      <c r="C5" s="2168" t="s">
        <v>44</v>
      </c>
      <c r="D5" s="2168"/>
      <c r="E5" s="2169" t="s">
        <v>1786</v>
      </c>
      <c r="F5" s="2169"/>
      <c r="G5" s="1849" t="s">
        <v>1795</v>
      </c>
      <c r="H5" s="1849"/>
      <c r="I5" s="1849"/>
      <c r="J5" s="1849" t="s">
        <v>635</v>
      </c>
      <c r="K5" s="1849"/>
      <c r="L5" s="1849" t="s">
        <v>1796</v>
      </c>
      <c r="M5" s="1849"/>
      <c r="N5" s="1849"/>
      <c r="O5" s="1849"/>
      <c r="P5" s="1849"/>
      <c r="Q5" s="1849"/>
      <c r="R5" s="1849"/>
      <c r="S5" s="1849"/>
      <c r="T5" s="1849"/>
    </row>
    <row r="6" spans="1:20" ht="114" customHeight="1">
      <c r="A6" s="1488" t="s">
        <v>68</v>
      </c>
      <c r="B6" s="1489" t="s">
        <v>71</v>
      </c>
      <c r="C6" s="1492" t="s">
        <v>44</v>
      </c>
      <c r="D6" s="1492" t="s">
        <v>113</v>
      </c>
      <c r="E6" s="1490" t="s">
        <v>69</v>
      </c>
      <c r="F6" s="1491" t="s">
        <v>1793</v>
      </c>
      <c r="G6" s="1489" t="s">
        <v>72</v>
      </c>
      <c r="H6" s="1492" t="s">
        <v>73</v>
      </c>
      <c r="I6" s="1492" t="s">
        <v>114</v>
      </c>
      <c r="J6" s="1492" t="s">
        <v>26</v>
      </c>
      <c r="K6" s="1492" t="s">
        <v>1794</v>
      </c>
      <c r="L6" s="1488" t="s">
        <v>642</v>
      </c>
      <c r="M6" s="1493" t="s">
        <v>621</v>
      </c>
      <c r="N6" s="1493" t="s">
        <v>622</v>
      </c>
      <c r="O6" s="1493" t="s">
        <v>261</v>
      </c>
      <c r="P6" s="1494" t="s">
        <v>623</v>
      </c>
      <c r="Q6" s="1494" t="s">
        <v>624</v>
      </c>
      <c r="R6" s="1494" t="s">
        <v>629</v>
      </c>
      <c r="S6" s="1494" t="s">
        <v>625</v>
      </c>
      <c r="T6" s="1495" t="s">
        <v>721</v>
      </c>
    </row>
    <row r="7" spans="1:20">
      <c r="A7" s="2164">
        <v>40</v>
      </c>
      <c r="B7" s="2164">
        <f>0.675-(0.0015*A7)</f>
        <v>0.61499999999999999</v>
      </c>
      <c r="C7" s="1750">
        <f>((A7*'Equipment Results Matrix'!$R$314)+(B7*'Equipment Results Matrix'!$R$313)+'Equipment Results Matrix'!$T$320)*(1+'Equipment Results Matrix'!$T$322)</f>
        <v>632.1083347709997</v>
      </c>
      <c r="D7" s="2165">
        <f>C7*Inflation!$D$3</f>
        <v>681.53513976797262</v>
      </c>
      <c r="E7" s="1487" t="s">
        <v>230</v>
      </c>
      <c r="F7" s="1487">
        <v>0.67</v>
      </c>
      <c r="G7" s="97">
        <v>40</v>
      </c>
      <c r="H7" s="99">
        <f>((G7*'Equipment Results Matrix'!$R$314)+($F$7*'Equipment Results Matrix'!$R$313)+'Equipment Results Matrix'!$T$320)*(1+'Equipment Results Matrix'!$T$322)</f>
        <v>779.6393516679999</v>
      </c>
      <c r="I7" s="99">
        <f>(H7*Inflation!$D$3)</f>
        <v>840.60213301911301</v>
      </c>
      <c r="J7" s="99">
        <f>H7-$C$7</f>
        <v>147.5310168970002</v>
      </c>
      <c r="K7" s="1497">
        <f>I7-$D$7</f>
        <v>159.06699325114039</v>
      </c>
      <c r="L7" s="99">
        <f>D14</f>
        <v>290.67086909840981</v>
      </c>
      <c r="M7" s="183">
        <v>0.05</v>
      </c>
      <c r="N7" s="97">
        <v>13</v>
      </c>
      <c r="O7" s="19">
        <f>N7/3</f>
        <v>4.333333333333333</v>
      </c>
      <c r="P7" s="212">
        <f>((1+$M7)^O7-1)/($M7*(1+$M7)^O7)</f>
        <v>3.8113848150727834</v>
      </c>
      <c r="Q7" s="212">
        <f>((1+$M7)^N7-1)/($M7*(1+$M7)^N7)</f>
        <v>9.3935729870941067</v>
      </c>
      <c r="R7" s="212">
        <f>P7/Q7</f>
        <v>0.40574388683723123</v>
      </c>
      <c r="S7" s="99">
        <f>R7*($L$7+$I$7)</f>
        <v>459.00710495318702</v>
      </c>
      <c r="T7" s="255">
        <f>S7+K7</f>
        <v>618.07409820432736</v>
      </c>
    </row>
    <row r="8" spans="1:20">
      <c r="A8" s="2164"/>
      <c r="B8" s="2164"/>
      <c r="C8" s="1750"/>
      <c r="D8" s="2165"/>
      <c r="E8" s="1487" t="s">
        <v>70</v>
      </c>
      <c r="F8" s="1487">
        <v>0.82</v>
      </c>
      <c r="G8" s="97">
        <v>180</v>
      </c>
      <c r="H8" s="99">
        <f>((82*'Equipment Results Matrix'!$R$345)+(G8*'Equipment Results Matrix'!$R$346)+'Equipment Results Matrix'!$R$347+'Equipment Results Matrix'!$T$352)*(1+'Equipment Results Matrix'!$T$354)</f>
        <v>1009.5539062500004</v>
      </c>
      <c r="I8" s="99">
        <f>(H8*Inflation!$D$3)</f>
        <v>1088.4945265729843</v>
      </c>
      <c r="J8" s="99">
        <f>H8-$C$7</f>
        <v>377.44557147900071</v>
      </c>
      <c r="K8" s="99">
        <f>I8-$D$7</f>
        <v>406.95938680501172</v>
      </c>
      <c r="L8" s="99">
        <f>D16</f>
        <v>387.46694431034194</v>
      </c>
      <c r="M8" s="183">
        <v>0.05</v>
      </c>
      <c r="N8" s="97">
        <v>13</v>
      </c>
      <c r="O8" s="19">
        <f>N8/3</f>
        <v>4.333333333333333</v>
      </c>
      <c r="P8" s="212">
        <f>((1+$M8)^O8-1)/($M8*(1+$M8)^O8)</f>
        <v>3.8113848150727834</v>
      </c>
      <c r="Q8" s="212">
        <f>((1+$M8)^N8-1)/($M8*(1+$M8)^N8)</f>
        <v>9.3935729870941067</v>
      </c>
      <c r="R8" s="212">
        <f>P8/Q8</f>
        <v>0.40574388683723123</v>
      </c>
      <c r="S8" s="99">
        <f>R8*($L$8+$I$8)</f>
        <v>598.86234401819763</v>
      </c>
      <c r="T8" s="255">
        <f>S8+K8</f>
        <v>1005.8217308232094</v>
      </c>
    </row>
    <row r="9" spans="1:20" ht="15" customHeight="1">
      <c r="A9" s="21"/>
      <c r="B9" s="21"/>
      <c r="C9" s="22"/>
      <c r="D9" s="22"/>
      <c r="E9" s="23"/>
      <c r="F9" s="23"/>
      <c r="G9" s="24"/>
      <c r="H9" s="24"/>
      <c r="I9" s="24"/>
      <c r="J9" s="25"/>
      <c r="K9" s="25"/>
    </row>
    <row r="10" spans="1:20" ht="15" customHeight="1">
      <c r="A10" s="184" t="s">
        <v>634</v>
      </c>
    </row>
    <row r="11" spans="1:20" ht="30" customHeight="1">
      <c r="A11" s="2160" t="s">
        <v>228</v>
      </c>
      <c r="B11" s="2160"/>
      <c r="C11" s="2160"/>
      <c r="D11" s="2160"/>
    </row>
    <row r="12" spans="1:20" ht="28.8">
      <c r="A12" s="1496" t="s">
        <v>168</v>
      </c>
      <c r="B12" s="1496" t="s">
        <v>169</v>
      </c>
      <c r="C12" s="1496" t="s">
        <v>164</v>
      </c>
      <c r="D12" s="1496" t="s">
        <v>167</v>
      </c>
    </row>
    <row r="13" spans="1:20">
      <c r="A13" s="2161" t="s">
        <v>230</v>
      </c>
      <c r="B13" s="54">
        <v>30</v>
      </c>
      <c r="C13" s="55">
        <f>(0.0315*(B13)+2.9443)*'Labor Results Matrix'!$G$218*1.21*'Labor Adjustment'!$B$4</f>
        <v>249.39200052587509</v>
      </c>
      <c r="D13" s="122">
        <f>C13*Inflation!$D$3</f>
        <v>268.89285045892194</v>
      </c>
    </row>
    <row r="14" spans="1:20">
      <c r="A14" s="2162"/>
      <c r="B14" s="54">
        <v>40</v>
      </c>
      <c r="C14" s="55">
        <f>(0.0315*(B14)+2.9443)*'Labor Results Matrix'!$G$218*1.21*'Labor Adjustment'!$B$4</f>
        <v>269.59061728612772</v>
      </c>
      <c r="D14" s="122">
        <f>C14*Inflation!$D$3</f>
        <v>290.67086909840981</v>
      </c>
    </row>
    <row r="15" spans="1:20">
      <c r="A15" s="2163"/>
      <c r="B15" s="56">
        <v>65</v>
      </c>
      <c r="C15" s="55">
        <f>(0.0315*(B15)+2.9443)*'Labor Results Matrix'!$G$218*1.21*'Labor Adjustment'!$B$4</f>
        <v>320.08715918675932</v>
      </c>
      <c r="D15" s="122">
        <f>C15*Inflation!$D$3</f>
        <v>345.11591569712959</v>
      </c>
    </row>
    <row r="16" spans="1:20">
      <c r="A16" s="102" t="s">
        <v>170</v>
      </c>
      <c r="B16" s="97" t="s">
        <v>22</v>
      </c>
      <c r="C16" s="34">
        <f>'Labor Results Matrix'!$L$239*'Labor Adjustment'!$B$4</f>
        <v>294.71618091095922</v>
      </c>
      <c r="D16" s="34">
        <f>'Labor Results Matrix'!$L$239*Inflation!$D$3</f>
        <v>387.46694431034194</v>
      </c>
    </row>
  </sheetData>
  <mergeCells count="13">
    <mergeCell ref="A1:B1"/>
    <mergeCell ref="L5:T5"/>
    <mergeCell ref="C5:D5"/>
    <mergeCell ref="J5:K5"/>
    <mergeCell ref="A5:B5"/>
    <mergeCell ref="E5:F5"/>
    <mergeCell ref="G5:I5"/>
    <mergeCell ref="A11:D11"/>
    <mergeCell ref="A13:A15"/>
    <mergeCell ref="A7:A8"/>
    <mergeCell ref="B7:B8"/>
    <mergeCell ref="C7:C8"/>
    <mergeCell ref="D7:D8"/>
  </mergeCells>
  <hyperlinks>
    <hyperlink ref="A10" location="'Master Summary'!A1" display="Return To Master Summary"/>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U66"/>
  <sheetViews>
    <sheetView workbookViewId="0">
      <selection sqref="A1:F1"/>
    </sheetView>
  </sheetViews>
  <sheetFormatPr defaultRowHeight="14.4"/>
  <sheetData>
    <row r="1" spans="1:21" ht="33.75" customHeight="1">
      <c r="A1" s="2170" t="s">
        <v>42</v>
      </c>
      <c r="B1" s="2170"/>
      <c r="C1" s="2170"/>
      <c r="D1" s="2170"/>
      <c r="E1" s="2170"/>
      <c r="F1" s="2170"/>
    </row>
    <row r="2" spans="1:21" s="95" customFormat="1" ht="33.75" customHeight="1">
      <c r="A2" s="2174" t="s">
        <v>30</v>
      </c>
      <c r="B2" s="2174"/>
      <c r="C2" s="2174"/>
      <c r="D2" s="2174"/>
      <c r="E2" s="2174"/>
      <c r="F2" s="2174"/>
    </row>
    <row r="3" spans="1:21" s="95" customFormat="1" ht="33.75" customHeight="1">
      <c r="A3" s="2036" t="s">
        <v>31</v>
      </c>
      <c r="B3" s="2036" t="s">
        <v>32</v>
      </c>
      <c r="C3" s="2036" t="s">
        <v>33</v>
      </c>
      <c r="D3" s="2036"/>
      <c r="E3" s="2036"/>
      <c r="F3" s="2036"/>
    </row>
    <row r="4" spans="1:21" s="95" customFormat="1" ht="33.75" customHeight="1">
      <c r="A4" s="2036"/>
      <c r="B4" s="2036"/>
      <c r="C4" s="35">
        <v>9.9</v>
      </c>
      <c r="D4" s="35">
        <v>10.199999999999999</v>
      </c>
      <c r="E4" s="35">
        <v>10.52</v>
      </c>
      <c r="F4" s="35">
        <v>10.7</v>
      </c>
    </row>
    <row r="5" spans="1:21" s="95" customFormat="1" ht="33.75" customHeight="1">
      <c r="A5" s="8">
        <v>50</v>
      </c>
      <c r="B5" s="8">
        <v>9.5619999999999994</v>
      </c>
      <c r="C5" s="17">
        <v>258</v>
      </c>
      <c r="D5" s="17">
        <v>486</v>
      </c>
      <c r="E5" s="17">
        <v>730</v>
      </c>
      <c r="F5" s="17">
        <v>867</v>
      </c>
    </row>
    <row r="6" spans="1:21" s="95" customFormat="1" ht="33.75" customHeight="1">
      <c r="A6" s="8">
        <v>100</v>
      </c>
      <c r="B6" s="8">
        <v>9.5619999999999994</v>
      </c>
      <c r="C6" s="17">
        <v>128</v>
      </c>
      <c r="D6" s="17">
        <v>243</v>
      </c>
      <c r="E6" s="17">
        <v>364</v>
      </c>
      <c r="F6" s="17">
        <v>433</v>
      </c>
    </row>
    <row r="7" spans="1:21" s="95" customFormat="1" ht="33.75" customHeight="1">
      <c r="A7" s="8">
        <v>150</v>
      </c>
      <c r="B7" s="8">
        <v>9.5619999999999994</v>
      </c>
      <c r="C7" s="17">
        <v>86</v>
      </c>
      <c r="D7" s="17">
        <v>162</v>
      </c>
      <c r="E7" s="17">
        <v>244</v>
      </c>
      <c r="F7" s="17">
        <v>289</v>
      </c>
    </row>
    <row r="8" spans="1:21" s="95" customFormat="1" ht="33.75" customHeight="1">
      <c r="A8" s="8">
        <v>200</v>
      </c>
      <c r="B8" s="8">
        <v>9.5619999999999994</v>
      </c>
      <c r="C8" s="17">
        <v>53</v>
      </c>
      <c r="D8" s="17">
        <v>99</v>
      </c>
      <c r="E8" s="17">
        <v>149</v>
      </c>
      <c r="F8" s="17">
        <v>177</v>
      </c>
      <c r="P8" s="10"/>
      <c r="Q8" s="10"/>
      <c r="R8" s="86"/>
      <c r="S8" s="86"/>
      <c r="T8" s="86"/>
      <c r="U8" s="86"/>
    </row>
    <row r="9" spans="1:21" s="95" customFormat="1" ht="33.75" customHeight="1">
      <c r="A9" s="8">
        <v>400</v>
      </c>
      <c r="B9" s="8">
        <v>9.5619999999999994</v>
      </c>
      <c r="C9" s="17">
        <v>26</v>
      </c>
      <c r="D9" s="17">
        <v>50</v>
      </c>
      <c r="E9" s="17">
        <v>74</v>
      </c>
      <c r="F9" s="17">
        <v>88</v>
      </c>
      <c r="P9" s="10"/>
      <c r="Q9" s="10"/>
      <c r="R9" s="86"/>
      <c r="S9" s="86"/>
      <c r="T9" s="86"/>
      <c r="U9" s="86"/>
    </row>
    <row r="10" spans="1:21" s="95" customFormat="1" ht="9.75" customHeight="1">
      <c r="A10" s="1479"/>
      <c r="B10" s="1479"/>
      <c r="C10" s="1479"/>
      <c r="D10" s="1479"/>
      <c r="E10" s="1479"/>
      <c r="F10" s="1479"/>
      <c r="P10" s="39"/>
      <c r="Q10" s="1"/>
      <c r="R10" s="1"/>
      <c r="S10" s="1"/>
      <c r="T10" s="1"/>
      <c r="U10" s="1"/>
    </row>
    <row r="11" spans="1:21" s="95" customFormat="1" ht="33.75" customHeight="1">
      <c r="A11" s="2174" t="s">
        <v>34</v>
      </c>
      <c r="B11" s="2174"/>
      <c r="C11" s="2174"/>
      <c r="D11" s="2174"/>
      <c r="E11" s="2174"/>
      <c r="F11" s="2174"/>
    </row>
    <row r="12" spans="1:21" s="95" customFormat="1" ht="33.75" customHeight="1">
      <c r="A12" s="2036" t="s">
        <v>31</v>
      </c>
      <c r="B12" s="2036" t="s">
        <v>32</v>
      </c>
      <c r="C12" s="2036" t="s">
        <v>33</v>
      </c>
      <c r="D12" s="2036"/>
      <c r="E12" s="2036"/>
      <c r="F12" s="2036"/>
    </row>
    <row r="13" spans="1:21" s="95" customFormat="1" ht="33.75" customHeight="1">
      <c r="A13" s="2036"/>
      <c r="B13" s="2036"/>
      <c r="C13" s="35">
        <v>9.9</v>
      </c>
      <c r="D13" s="35">
        <v>10.199999999999999</v>
      </c>
      <c r="E13" s="35">
        <v>10.52</v>
      </c>
      <c r="F13" s="35">
        <v>10.7</v>
      </c>
    </row>
    <row r="14" spans="1:21" s="95" customFormat="1" ht="33.75" customHeight="1">
      <c r="A14" s="8">
        <v>50</v>
      </c>
      <c r="B14" s="8">
        <v>10.1</v>
      </c>
      <c r="C14" s="8" t="s">
        <v>35</v>
      </c>
      <c r="D14" s="17">
        <v>76</v>
      </c>
      <c r="E14" s="17">
        <v>320</v>
      </c>
      <c r="F14" s="17">
        <v>457</v>
      </c>
    </row>
    <row r="15" spans="1:21" s="95" customFormat="1" ht="33.75" customHeight="1">
      <c r="A15" s="8">
        <v>100</v>
      </c>
      <c r="B15" s="8">
        <v>10.1</v>
      </c>
      <c r="C15" s="8" t="s">
        <v>35</v>
      </c>
      <c r="D15" s="17">
        <v>38</v>
      </c>
      <c r="E15" s="17">
        <v>159</v>
      </c>
      <c r="F15" s="17">
        <v>228</v>
      </c>
    </row>
    <row r="16" spans="1:21" s="95" customFormat="1" ht="33.75" customHeight="1">
      <c r="A16" s="8">
        <v>150</v>
      </c>
      <c r="B16" s="8">
        <v>10.1</v>
      </c>
      <c r="C16" s="8" t="s">
        <v>35</v>
      </c>
      <c r="D16" s="17">
        <v>25</v>
      </c>
      <c r="E16" s="17">
        <v>107</v>
      </c>
      <c r="F16" s="17">
        <v>152</v>
      </c>
    </row>
    <row r="17" spans="1:6" s="95" customFormat="1" ht="33.75" customHeight="1">
      <c r="A17" s="8">
        <v>200</v>
      </c>
      <c r="B17" s="8">
        <v>10.1</v>
      </c>
      <c r="C17" s="8" t="s">
        <v>35</v>
      </c>
      <c r="D17" s="17">
        <v>15</v>
      </c>
      <c r="E17" s="17">
        <v>65</v>
      </c>
      <c r="F17" s="17">
        <v>93</v>
      </c>
    </row>
    <row r="18" spans="1:6" s="95" customFormat="1" ht="33.75" customHeight="1">
      <c r="A18" s="8">
        <v>400</v>
      </c>
      <c r="B18" s="8">
        <v>10.1</v>
      </c>
      <c r="C18" s="8" t="s">
        <v>35</v>
      </c>
      <c r="D18" s="17">
        <v>8</v>
      </c>
      <c r="E18" s="17">
        <v>32</v>
      </c>
      <c r="F18" s="17">
        <v>46</v>
      </c>
    </row>
    <row r="19" spans="1:6" ht="12.75" customHeight="1">
      <c r="A19" s="95"/>
      <c r="B19" s="95"/>
      <c r="C19" s="95"/>
      <c r="D19" s="95"/>
      <c r="E19" s="95"/>
      <c r="F19" s="95"/>
    </row>
    <row r="20" spans="1:6" ht="40.5" customHeight="1">
      <c r="A20" s="2171" t="s">
        <v>36</v>
      </c>
      <c r="B20" s="2172"/>
      <c r="C20" s="2172"/>
      <c r="D20" s="2172"/>
      <c r="E20" s="2172"/>
      <c r="F20" s="2173"/>
    </row>
    <row r="21" spans="1:6" ht="45" customHeight="1">
      <c r="A21" s="2036" t="s">
        <v>31</v>
      </c>
      <c r="B21" s="2036" t="s">
        <v>37</v>
      </c>
      <c r="C21" s="2036" t="s">
        <v>38</v>
      </c>
      <c r="D21" s="2036"/>
      <c r="E21" s="2036"/>
      <c r="F21" s="2036"/>
    </row>
    <row r="22" spans="1:6" ht="15" customHeight="1">
      <c r="A22" s="2036"/>
      <c r="B22" s="2036"/>
      <c r="C22" s="35">
        <v>0.72</v>
      </c>
      <c r="D22" s="35">
        <v>0.68</v>
      </c>
      <c r="E22" s="35">
        <v>0.64</v>
      </c>
      <c r="F22" s="35">
        <v>0.6</v>
      </c>
    </row>
    <row r="23" spans="1:6" ht="26.25" customHeight="1">
      <c r="A23" s="8">
        <v>50</v>
      </c>
      <c r="B23" s="8">
        <v>0.78</v>
      </c>
      <c r="C23" s="17">
        <v>114</v>
      </c>
      <c r="D23" s="17">
        <v>164</v>
      </c>
      <c r="E23" s="8" t="s">
        <v>35</v>
      </c>
      <c r="F23" s="8" t="s">
        <v>35</v>
      </c>
    </row>
    <row r="24" spans="1:6">
      <c r="A24" s="8">
        <v>100</v>
      </c>
      <c r="B24" s="8">
        <v>0.77500000000000002</v>
      </c>
      <c r="C24" s="17">
        <v>52</v>
      </c>
      <c r="D24" s="17">
        <v>77</v>
      </c>
      <c r="E24" s="8" t="s">
        <v>35</v>
      </c>
      <c r="F24" s="8" t="s">
        <v>35</v>
      </c>
    </row>
    <row r="25" spans="1:6">
      <c r="A25" s="8">
        <v>150</v>
      </c>
      <c r="B25" s="8">
        <v>0.68</v>
      </c>
      <c r="C25" s="8" t="s">
        <v>35</v>
      </c>
      <c r="D25" s="8" t="s">
        <v>35</v>
      </c>
      <c r="E25" s="8" t="s">
        <v>35</v>
      </c>
      <c r="F25" s="8" t="s">
        <v>35</v>
      </c>
    </row>
    <row r="26" spans="1:6">
      <c r="A26" s="8">
        <v>200</v>
      </c>
      <c r="B26" s="8">
        <v>0.68</v>
      </c>
      <c r="C26" s="8" t="s">
        <v>35</v>
      </c>
      <c r="D26" s="8" t="s">
        <v>35</v>
      </c>
      <c r="E26" s="17">
        <v>61</v>
      </c>
      <c r="F26" s="17">
        <v>122</v>
      </c>
    </row>
    <row r="27" spans="1:6" ht="15.75" customHeight="1">
      <c r="A27" s="8">
        <v>400</v>
      </c>
      <c r="B27" s="8">
        <v>0.62</v>
      </c>
      <c r="C27" s="8" t="s">
        <v>35</v>
      </c>
      <c r="D27" s="8" t="s">
        <v>35</v>
      </c>
      <c r="E27" s="8" t="s">
        <v>35</v>
      </c>
      <c r="F27" s="17">
        <v>16</v>
      </c>
    </row>
    <row r="28" spans="1:6" ht="16.2">
      <c r="A28" s="39"/>
      <c r="B28" s="1"/>
      <c r="C28" s="1"/>
      <c r="D28" s="1"/>
      <c r="E28" s="1"/>
      <c r="F28" s="1"/>
    </row>
    <row r="29" spans="1:6" ht="46.5" customHeight="1">
      <c r="A29" s="2174" t="s">
        <v>39</v>
      </c>
      <c r="B29" s="2174"/>
      <c r="C29" s="2174"/>
      <c r="D29" s="2174"/>
      <c r="E29" s="2174"/>
      <c r="F29" s="2174"/>
    </row>
    <row r="30" spans="1:6" ht="15.75" customHeight="1">
      <c r="A30" s="2036" t="s">
        <v>31</v>
      </c>
      <c r="B30" s="2036" t="s">
        <v>37</v>
      </c>
      <c r="C30" s="2036" t="s">
        <v>38</v>
      </c>
      <c r="D30" s="2036"/>
      <c r="E30" s="2036"/>
      <c r="F30" s="2036"/>
    </row>
    <row r="31" spans="1:6">
      <c r="A31" s="2036"/>
      <c r="B31" s="2036"/>
      <c r="C31" s="35">
        <v>0.72</v>
      </c>
      <c r="D31" s="35">
        <v>0.68</v>
      </c>
      <c r="E31" s="35">
        <v>0.64</v>
      </c>
      <c r="F31" s="35">
        <v>0.6</v>
      </c>
    </row>
    <row r="32" spans="1:6">
      <c r="A32" s="8">
        <v>50</v>
      </c>
      <c r="B32" s="8">
        <v>0.75</v>
      </c>
      <c r="C32" s="17">
        <v>57</v>
      </c>
      <c r="D32" s="17">
        <v>107</v>
      </c>
      <c r="E32" s="8" t="s">
        <v>35</v>
      </c>
      <c r="F32" s="8" t="s">
        <v>35</v>
      </c>
    </row>
    <row r="33" spans="1:6">
      <c r="A33" s="8">
        <v>100</v>
      </c>
      <c r="B33" s="8">
        <v>0.72</v>
      </c>
      <c r="C33" s="17">
        <v>0</v>
      </c>
      <c r="D33" s="17">
        <v>25</v>
      </c>
      <c r="E33" s="8" t="s">
        <v>35</v>
      </c>
      <c r="F33" s="8" t="s">
        <v>35</v>
      </c>
    </row>
    <row r="34" spans="1:6">
      <c r="A34" s="8">
        <v>150</v>
      </c>
      <c r="B34" s="8">
        <v>0.66</v>
      </c>
      <c r="C34" s="8" t="s">
        <v>35</v>
      </c>
      <c r="D34" s="8" t="s">
        <v>35</v>
      </c>
      <c r="E34" s="8" t="s">
        <v>35</v>
      </c>
      <c r="F34" s="8" t="s">
        <v>35</v>
      </c>
    </row>
    <row r="35" spans="1:6">
      <c r="A35" s="8">
        <v>200</v>
      </c>
      <c r="B35" s="8">
        <v>0.66</v>
      </c>
      <c r="C35" s="8" t="s">
        <v>35</v>
      </c>
      <c r="D35" s="8" t="s">
        <v>35</v>
      </c>
      <c r="E35" s="17">
        <v>31</v>
      </c>
      <c r="F35" s="17">
        <v>92</v>
      </c>
    </row>
    <row r="36" spans="1:6">
      <c r="A36" s="8">
        <v>400</v>
      </c>
      <c r="B36" s="8">
        <v>0.61</v>
      </c>
      <c r="C36" s="8" t="s">
        <v>35</v>
      </c>
      <c r="D36" s="8" t="s">
        <v>35</v>
      </c>
      <c r="E36" s="8" t="s">
        <v>35</v>
      </c>
      <c r="F36" s="17">
        <v>8</v>
      </c>
    </row>
    <row r="37" spans="1:6" ht="16.2">
      <c r="A37" s="39"/>
      <c r="B37" s="1"/>
      <c r="C37" s="1"/>
      <c r="D37" s="1"/>
      <c r="E37" s="1"/>
      <c r="F37" s="1"/>
    </row>
    <row r="38" spans="1:6" ht="48" customHeight="1">
      <c r="A38" s="2171" t="s">
        <v>40</v>
      </c>
      <c r="B38" s="2172"/>
      <c r="C38" s="2172"/>
      <c r="D38" s="2172"/>
      <c r="E38" s="2173"/>
    </row>
    <row r="39" spans="1:6" ht="15.75" customHeight="1">
      <c r="A39" s="2036" t="s">
        <v>31</v>
      </c>
      <c r="B39" s="2036" t="s">
        <v>37</v>
      </c>
      <c r="C39" s="2036" t="s">
        <v>38</v>
      </c>
      <c r="D39" s="2036"/>
      <c r="E39" s="2036"/>
    </row>
    <row r="40" spans="1:6">
      <c r="A40" s="2036"/>
      <c r="B40" s="2036"/>
      <c r="C40" s="35">
        <v>0.6</v>
      </c>
      <c r="D40" s="35">
        <v>0.57999999999999996</v>
      </c>
      <c r="E40" s="35">
        <v>0.54</v>
      </c>
    </row>
    <row r="41" spans="1:6">
      <c r="A41" s="8">
        <v>100</v>
      </c>
      <c r="B41" s="8">
        <v>0.63400000000000001</v>
      </c>
      <c r="C41" s="17">
        <v>62</v>
      </c>
      <c r="D41" s="17">
        <v>99</v>
      </c>
      <c r="E41" s="17">
        <v>172</v>
      </c>
    </row>
    <row r="42" spans="1:6">
      <c r="A42" s="8">
        <v>150</v>
      </c>
      <c r="B42" s="8">
        <v>0.63400000000000001</v>
      </c>
      <c r="C42" s="17">
        <v>42</v>
      </c>
      <c r="D42" s="17">
        <v>66</v>
      </c>
      <c r="E42" s="17">
        <v>115</v>
      </c>
    </row>
    <row r="43" spans="1:6">
      <c r="A43" s="8">
        <v>200</v>
      </c>
      <c r="B43" s="8">
        <v>0.63400000000000001</v>
      </c>
      <c r="C43" s="17">
        <v>31</v>
      </c>
      <c r="D43" s="17">
        <v>49</v>
      </c>
      <c r="E43" s="17">
        <v>86</v>
      </c>
    </row>
    <row r="44" spans="1:6">
      <c r="A44" s="8">
        <v>300</v>
      </c>
      <c r="B44" s="8">
        <v>0.57599999999999996</v>
      </c>
      <c r="C44" s="8" t="s">
        <v>35</v>
      </c>
      <c r="D44" s="8" t="s">
        <v>35</v>
      </c>
      <c r="E44" s="17">
        <v>55</v>
      </c>
    </row>
    <row r="45" spans="1:6">
      <c r="A45" s="8">
        <v>600</v>
      </c>
      <c r="B45" s="8">
        <v>0.56999999999999995</v>
      </c>
      <c r="C45" s="8" t="s">
        <v>35</v>
      </c>
      <c r="D45" s="8" t="s">
        <v>35</v>
      </c>
      <c r="E45" s="17">
        <v>22</v>
      </c>
    </row>
    <row r="46" spans="1:6" ht="16.2">
      <c r="A46" s="39"/>
      <c r="B46" s="1"/>
      <c r="C46" s="1"/>
      <c r="D46" s="1"/>
      <c r="E46" s="1"/>
    </row>
    <row r="47" spans="1:6" ht="45.75" customHeight="1">
      <c r="A47" s="2174" t="s">
        <v>41</v>
      </c>
      <c r="B47" s="2174"/>
      <c r="C47" s="2174"/>
      <c r="D47" s="2174"/>
      <c r="E47" s="2174"/>
    </row>
    <row r="48" spans="1:6" ht="15.75" customHeight="1">
      <c r="A48" s="2036" t="s">
        <v>31</v>
      </c>
      <c r="B48" s="2036" t="s">
        <v>37</v>
      </c>
      <c r="C48" s="2036" t="s">
        <v>38</v>
      </c>
      <c r="D48" s="2036"/>
      <c r="E48" s="2036"/>
    </row>
    <row r="49" spans="1:6">
      <c r="A49" s="2036"/>
      <c r="B49" s="2036"/>
      <c r="C49" s="35">
        <v>0.6</v>
      </c>
      <c r="D49" s="35">
        <v>0.57999999999999996</v>
      </c>
      <c r="E49" s="35">
        <v>0.54</v>
      </c>
    </row>
    <row r="50" spans="1:6">
      <c r="A50" s="8">
        <v>100</v>
      </c>
      <c r="B50" s="8">
        <v>0.61</v>
      </c>
      <c r="C50" s="17">
        <v>18</v>
      </c>
      <c r="D50" s="17">
        <v>55</v>
      </c>
      <c r="E50" s="17">
        <v>128</v>
      </c>
    </row>
    <row r="51" spans="1:6">
      <c r="A51" s="8">
        <v>150</v>
      </c>
      <c r="B51" s="8">
        <v>0.61</v>
      </c>
      <c r="C51" s="17">
        <v>12</v>
      </c>
      <c r="D51" s="17">
        <v>36</v>
      </c>
      <c r="E51" s="17">
        <v>85</v>
      </c>
    </row>
    <row r="52" spans="1:6">
      <c r="A52" s="8">
        <v>200</v>
      </c>
      <c r="B52" s="8">
        <v>0.61</v>
      </c>
      <c r="C52" s="17">
        <v>9</v>
      </c>
      <c r="D52" s="17">
        <v>27</v>
      </c>
      <c r="E52" s="17">
        <v>64</v>
      </c>
    </row>
    <row r="53" spans="1:6">
      <c r="A53" s="8">
        <v>300</v>
      </c>
      <c r="B53" s="8">
        <v>0.56000000000000005</v>
      </c>
      <c r="C53" s="8" t="s">
        <v>35</v>
      </c>
      <c r="D53" s="8" t="s">
        <v>35</v>
      </c>
      <c r="E53" s="17">
        <v>31</v>
      </c>
    </row>
    <row r="54" spans="1:6">
      <c r="A54" s="8">
        <v>600</v>
      </c>
      <c r="B54" s="8">
        <v>0.56000000000000005</v>
      </c>
      <c r="C54" s="8" t="s">
        <v>35</v>
      </c>
      <c r="D54" s="8" t="s">
        <v>35</v>
      </c>
      <c r="E54" s="17">
        <v>15</v>
      </c>
      <c r="F54" s="1"/>
    </row>
    <row r="55" spans="1:6" ht="16.2">
      <c r="A55" s="5"/>
    </row>
    <row r="56" spans="1:6" ht="18.75" customHeight="1">
      <c r="A56" s="184" t="s">
        <v>634</v>
      </c>
    </row>
    <row r="57" spans="1:6" ht="15.75" customHeight="1"/>
    <row r="65" ht="18.75" customHeight="1"/>
    <row r="66" ht="15.75" customHeight="1"/>
  </sheetData>
  <mergeCells count="25">
    <mergeCell ref="A11:F11"/>
    <mergeCell ref="A47:E47"/>
    <mergeCell ref="A48:A49"/>
    <mergeCell ref="B48:B49"/>
    <mergeCell ref="C48:E48"/>
    <mergeCell ref="A39:A40"/>
    <mergeCell ref="B39:B40"/>
    <mergeCell ref="C39:E39"/>
    <mergeCell ref="A38:E38"/>
    <mergeCell ref="A1:F1"/>
    <mergeCell ref="A21:A22"/>
    <mergeCell ref="B21:B22"/>
    <mergeCell ref="C21:F21"/>
    <mergeCell ref="A30:A31"/>
    <mergeCell ref="B30:B31"/>
    <mergeCell ref="C30:F30"/>
    <mergeCell ref="A12:A13"/>
    <mergeCell ref="B12:B13"/>
    <mergeCell ref="C12:F12"/>
    <mergeCell ref="A20:F20"/>
    <mergeCell ref="A29:F29"/>
    <mergeCell ref="A2:F2"/>
    <mergeCell ref="A3:A4"/>
    <mergeCell ref="B3:B4"/>
    <mergeCell ref="C3:F3"/>
  </mergeCells>
  <hyperlinks>
    <hyperlink ref="A56" location="'Master Summary'!A1" display="Return To Master Summary"/>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T28"/>
  <sheetViews>
    <sheetView workbookViewId="0">
      <selection activeCell="A6" sqref="A6"/>
    </sheetView>
  </sheetViews>
  <sheetFormatPr defaultRowHeight="14.4"/>
  <cols>
    <col min="1" max="1" width="30.109375" customWidth="1"/>
    <col min="2" max="2" width="28.6640625" customWidth="1"/>
    <col min="3" max="3" width="25.33203125" customWidth="1"/>
    <col min="4" max="4" width="30.44140625" customWidth="1"/>
    <col min="5" max="6" width="20.109375" style="95" customWidth="1"/>
    <col min="7" max="7" width="16" customWidth="1"/>
    <col min="8" max="8" width="16.88671875" customWidth="1"/>
    <col min="9" max="11" width="12.6640625" customWidth="1"/>
    <col min="12" max="12" width="25.33203125" customWidth="1"/>
    <col min="13" max="13" width="25.109375" customWidth="1"/>
    <col min="14" max="14" width="15.6640625" customWidth="1"/>
    <col min="15" max="15" width="27.109375" customWidth="1"/>
    <col min="16" max="16" width="30" customWidth="1"/>
  </cols>
  <sheetData>
    <row r="1" spans="1:16" s="95" customFormat="1" ht="15" thickBot="1"/>
    <row r="2" spans="1:16" s="95" customFormat="1" ht="25.8">
      <c r="A2" s="409" t="s">
        <v>777</v>
      </c>
      <c r="B2" s="410"/>
    </row>
    <row r="3" spans="1:16" s="95" customFormat="1" ht="25.8">
      <c r="A3" s="411" t="s">
        <v>184</v>
      </c>
      <c r="B3" s="412" t="s">
        <v>778</v>
      </c>
    </row>
    <row r="4" spans="1:16" s="95" customFormat="1" ht="26.4" thickBot="1">
      <c r="A4" s="407">
        <f>H13</f>
        <v>97.774905368253656</v>
      </c>
      <c r="B4" s="408">
        <f>P13</f>
        <v>286.79737980745938</v>
      </c>
    </row>
    <row r="5" spans="1:16" s="95" customFormat="1"/>
    <row r="6" spans="1:16" s="95" customFormat="1" ht="21">
      <c r="A6" s="184" t="s">
        <v>634</v>
      </c>
    </row>
    <row r="7" spans="1:16" s="95" customFormat="1"/>
    <row r="8" spans="1:16" s="95" customFormat="1" ht="15" thickBot="1"/>
    <row r="9" spans="1:16" s="95" customFormat="1" ht="23.4">
      <c r="A9" s="1738" t="s">
        <v>774</v>
      </c>
      <c r="B9" s="1739"/>
      <c r="C9" s="1739"/>
      <c r="D9" s="1739"/>
      <c r="E9" s="1739"/>
      <c r="F9" s="1740"/>
      <c r="G9" s="1738" t="s">
        <v>772</v>
      </c>
      <c r="H9" s="1739"/>
      <c r="I9" s="1739"/>
      <c r="J9" s="1739"/>
      <c r="K9" s="1739"/>
      <c r="L9" s="1739"/>
      <c r="M9" s="1739"/>
      <c r="N9" s="1739"/>
      <c r="O9" s="1739"/>
      <c r="P9" s="1740"/>
    </row>
    <row r="10" spans="1:16" ht="21">
      <c r="A10" s="1728" t="s">
        <v>528</v>
      </c>
      <c r="B10" s="1729"/>
      <c r="C10" s="1731" t="s">
        <v>516</v>
      </c>
      <c r="D10" s="1731"/>
      <c r="E10" s="1722" t="s">
        <v>163</v>
      </c>
      <c r="F10" s="1723"/>
      <c r="G10" s="1745" t="s">
        <v>644</v>
      </c>
      <c r="H10" s="1746"/>
      <c r="I10" s="1732" t="s">
        <v>773</v>
      </c>
      <c r="J10" s="1733"/>
      <c r="K10" s="1733"/>
      <c r="L10" s="1733"/>
      <c r="M10" s="1733"/>
      <c r="N10" s="1733"/>
      <c r="O10" s="1733"/>
      <c r="P10" s="1734"/>
    </row>
    <row r="11" spans="1:16" ht="43.95" customHeight="1">
      <c r="A11" s="1726" t="s">
        <v>775</v>
      </c>
      <c r="B11" s="1727"/>
      <c r="C11" s="1730" t="s">
        <v>776</v>
      </c>
      <c r="D11" s="1727"/>
      <c r="E11" s="1724"/>
      <c r="F11" s="1725"/>
      <c r="G11" s="1728"/>
      <c r="H11" s="1747"/>
      <c r="I11" s="1735"/>
      <c r="J11" s="1736"/>
      <c r="K11" s="1736"/>
      <c r="L11" s="1736"/>
      <c r="M11" s="1736"/>
      <c r="N11" s="1736"/>
      <c r="O11" s="1736"/>
      <c r="P11" s="1737"/>
    </row>
    <row r="12" spans="1:16" ht="63">
      <c r="A12" s="394" t="s">
        <v>147</v>
      </c>
      <c r="B12" s="387" t="s">
        <v>115</v>
      </c>
      <c r="C12" s="387" t="s">
        <v>147</v>
      </c>
      <c r="D12" s="387" t="s">
        <v>115</v>
      </c>
      <c r="E12" s="387" t="s">
        <v>147</v>
      </c>
      <c r="F12" s="395" t="s">
        <v>115</v>
      </c>
      <c r="G12" s="392" t="s">
        <v>150</v>
      </c>
      <c r="H12" s="388" t="s">
        <v>151</v>
      </c>
      <c r="I12" s="389" t="s">
        <v>621</v>
      </c>
      <c r="J12" s="389" t="s">
        <v>622</v>
      </c>
      <c r="K12" s="389" t="s">
        <v>261</v>
      </c>
      <c r="L12" s="390" t="s">
        <v>623</v>
      </c>
      <c r="M12" s="390" t="s">
        <v>624</v>
      </c>
      <c r="N12" s="390" t="s">
        <v>629</v>
      </c>
      <c r="O12" s="390" t="s">
        <v>625</v>
      </c>
      <c r="P12" s="393" t="s">
        <v>721</v>
      </c>
    </row>
    <row r="13" spans="1:16" ht="21.6" thickBot="1">
      <c r="A13" s="398">
        <f>'Equipment Results Matrix'!$Y$174+E13</f>
        <v>403.75750275136539</v>
      </c>
      <c r="B13" s="399">
        <f>A13*Inflation!$D$3</f>
        <v>435.32874182035556</v>
      </c>
      <c r="C13" s="399">
        <f>((('Equipment Results Matrix'!$R$177*0.5)+'Equipment Results Matrix'!$R$176+'Equipment Results Matrix'!$R$178+('Equipment Results Matrix'!$R$184*5)+'Equipment Results Matrix'!$T$181)*1.2)+E13</f>
        <v>494.44150275136548</v>
      </c>
      <c r="D13" s="399">
        <f>C13*Inflation!$D$3</f>
        <v>533.10364718860922</v>
      </c>
      <c r="E13" s="399">
        <f>'Labor Results Matrix'!$L$57*'Labor Adjustment'!B4</f>
        <v>142.02182533201056</v>
      </c>
      <c r="F13" s="400">
        <f>E13*Inflation!$D$3</f>
        <v>153.1270183501386</v>
      </c>
      <c r="G13" s="398">
        <f>(C13-A13)</f>
        <v>90.684000000000083</v>
      </c>
      <c r="H13" s="401">
        <f>D13-B13</f>
        <v>97.774905368253656</v>
      </c>
      <c r="I13" s="402">
        <v>0.05</v>
      </c>
      <c r="J13" s="403">
        <v>18</v>
      </c>
      <c r="K13" s="403">
        <f>J13/3</f>
        <v>6</v>
      </c>
      <c r="L13" s="404">
        <f>((1+I13)^K13-1)/(I13*(1+I13)^K13)</f>
        <v>5.0756920672674468</v>
      </c>
      <c r="M13" s="404">
        <f>((1+I13)^J13-1)/(I13*(1+$I13)^J13)</f>
        <v>11.689586902650337</v>
      </c>
      <c r="N13" s="404">
        <f>L13/M13</f>
        <v>0.43420628201298145</v>
      </c>
      <c r="O13" s="405">
        <f>N13*B13</f>
        <v>189.02247443920569</v>
      </c>
      <c r="P13" s="406">
        <f>O13+H13</f>
        <v>286.79737980745938</v>
      </c>
    </row>
    <row r="14" spans="1:16" ht="15" thickBot="1"/>
    <row r="15" spans="1:16" ht="21">
      <c r="A15" s="1741" t="s">
        <v>529</v>
      </c>
      <c r="B15" s="1742"/>
      <c r="C15" s="1743" t="s">
        <v>541</v>
      </c>
      <c r="D15" s="1744"/>
      <c r="E15"/>
      <c r="F15"/>
    </row>
    <row r="16" spans="1:16" ht="21">
      <c r="A16" s="1718" t="s">
        <v>148</v>
      </c>
      <c r="B16" s="1719"/>
      <c r="C16" s="1720" t="s">
        <v>149</v>
      </c>
      <c r="D16" s="1721"/>
      <c r="E16"/>
      <c r="F16"/>
    </row>
    <row r="17" spans="1:20" ht="21">
      <c r="A17" s="396" t="s">
        <v>147</v>
      </c>
      <c r="B17" s="391" t="s">
        <v>115</v>
      </c>
      <c r="C17" s="391" t="s">
        <v>147</v>
      </c>
      <c r="D17" s="397" t="s">
        <v>115</v>
      </c>
      <c r="E17"/>
      <c r="F17"/>
    </row>
    <row r="18" spans="1:20" ht="21.6" thickBot="1">
      <c r="A18" s="398">
        <f>'Equipment Results Matrix'!$Y$174</f>
        <v>261.73567741935483</v>
      </c>
      <c r="B18" s="399">
        <f>A18*Inflation!$D$3</f>
        <v>282.20172347021696</v>
      </c>
      <c r="C18" s="399">
        <f>((('Equipment Results Matrix'!$R$177*0.5)+'Equipment Results Matrix'!$R$176+'Equipment Results Matrix'!$R$178+('Equipment Results Matrix'!$R$184*5)+'Equipment Results Matrix'!$T$181)*1.2)</f>
        <v>352.41967741935491</v>
      </c>
      <c r="D18" s="400">
        <f>C18*Inflation!$D$3</f>
        <v>379.97662883847062</v>
      </c>
      <c r="E18" s="386"/>
      <c r="F18" s="386"/>
    </row>
    <row r="28" spans="1:20">
      <c r="N28" s="193"/>
      <c r="O28" s="203"/>
      <c r="P28" s="203"/>
      <c r="Q28" s="203"/>
      <c r="R28" s="203"/>
      <c r="S28" s="203"/>
      <c r="T28" s="204"/>
    </row>
  </sheetData>
  <mergeCells count="13">
    <mergeCell ref="I10:P11"/>
    <mergeCell ref="A9:F9"/>
    <mergeCell ref="G9:P9"/>
    <mergeCell ref="A15:B15"/>
    <mergeCell ref="C15:D15"/>
    <mergeCell ref="G10:H11"/>
    <mergeCell ref="A16:B16"/>
    <mergeCell ref="C16:D16"/>
    <mergeCell ref="E10:F11"/>
    <mergeCell ref="A11:B11"/>
    <mergeCell ref="A10:B10"/>
    <mergeCell ref="C11:D11"/>
    <mergeCell ref="C10:D10"/>
  </mergeCells>
  <hyperlinks>
    <hyperlink ref="A6" location="'Master Summary'!A1" display="Return To Master Summary"/>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F73"/>
  <sheetViews>
    <sheetView zoomScale="55" zoomScaleNormal="55" workbookViewId="0">
      <selection activeCell="N3" sqref="N3:Y3"/>
    </sheetView>
  </sheetViews>
  <sheetFormatPr defaultRowHeight="14.4"/>
  <cols>
    <col min="1" max="1" width="12.6640625" customWidth="1"/>
    <col min="2" max="2" width="13" customWidth="1"/>
    <col min="3" max="3" width="11.88671875" customWidth="1"/>
    <col min="4" max="5" width="14" customWidth="1"/>
    <col min="6" max="6" width="16.33203125" customWidth="1"/>
    <col min="7" max="7" width="14.33203125" customWidth="1"/>
    <col min="8" max="8" width="13.109375" customWidth="1"/>
    <col min="9" max="13" width="13.33203125" customWidth="1"/>
    <col min="14" max="14" width="14.44140625" style="95" customWidth="1"/>
    <col min="15" max="15" width="16.44140625" customWidth="1"/>
    <col min="16" max="16" width="13.88671875" customWidth="1"/>
    <col min="17" max="17" width="16" customWidth="1"/>
    <col min="18" max="18" width="15" customWidth="1"/>
    <col min="19" max="19" width="15.6640625" customWidth="1"/>
    <col min="20" max="20" width="15.109375" customWidth="1"/>
    <col min="21" max="21" width="18" customWidth="1"/>
    <col min="22" max="22" width="18.33203125" customWidth="1"/>
    <col min="23" max="23" width="14.33203125" customWidth="1"/>
    <col min="26" max="26" width="11.109375" customWidth="1"/>
    <col min="27" max="27" width="12.44140625" customWidth="1"/>
    <col min="28" max="28" width="15.88671875" customWidth="1"/>
    <col min="29" max="29" width="19.109375" customWidth="1"/>
  </cols>
  <sheetData>
    <row r="1" spans="1:32" s="95" customFormat="1" ht="15" thickBot="1"/>
    <row r="2" spans="1:32" s="95" customFormat="1" ht="23.4">
      <c r="B2" s="2199" t="s">
        <v>1919</v>
      </c>
      <c r="C2" s="2200"/>
      <c r="D2" s="2200"/>
      <c r="E2" s="2200"/>
      <c r="F2" s="2200"/>
      <c r="G2" s="2200"/>
      <c r="H2" s="2200"/>
      <c r="I2" s="2200"/>
      <c r="J2" s="2200"/>
      <c r="K2" s="2200"/>
      <c r="L2" s="2200"/>
      <c r="M2" s="2200"/>
      <c r="N2" s="2200"/>
      <c r="O2" s="2200"/>
      <c r="P2" s="2200"/>
      <c r="Q2" s="2200"/>
      <c r="R2" s="2200"/>
      <c r="S2" s="2200"/>
      <c r="T2" s="2200"/>
      <c r="U2" s="2200"/>
      <c r="V2" s="2200"/>
      <c r="W2" s="2200"/>
      <c r="X2" s="2200"/>
      <c r="Y2" s="2201"/>
    </row>
    <row r="3" spans="1:32" s="95" customFormat="1" ht="24" thickBot="1">
      <c r="B3" s="2202" t="s">
        <v>1928</v>
      </c>
      <c r="C3" s="2203"/>
      <c r="D3" s="2203"/>
      <c r="E3" s="2203"/>
      <c r="F3" s="2203"/>
      <c r="G3" s="2203"/>
      <c r="H3" s="2203"/>
      <c r="I3" s="2203"/>
      <c r="J3" s="2203"/>
      <c r="K3" s="2203"/>
      <c r="L3" s="2203"/>
      <c r="M3" s="2203"/>
      <c r="N3" s="2204" t="s">
        <v>1929</v>
      </c>
      <c r="O3" s="2203"/>
      <c r="P3" s="2203"/>
      <c r="Q3" s="2203"/>
      <c r="R3" s="2203"/>
      <c r="S3" s="2203"/>
      <c r="T3" s="2203"/>
      <c r="U3" s="2203"/>
      <c r="V3" s="2203"/>
      <c r="W3" s="2203"/>
      <c r="X3" s="2203"/>
      <c r="Y3" s="2205"/>
    </row>
    <row r="4" spans="1:32" s="95" customFormat="1" ht="35.25" customHeight="1">
      <c r="B4" s="2194" t="s">
        <v>1924</v>
      </c>
      <c r="C4" s="2195"/>
      <c r="D4" s="2195"/>
      <c r="E4" s="2195"/>
      <c r="F4" s="2195"/>
      <c r="G4" s="2196"/>
      <c r="H4" s="2194" t="s">
        <v>1925</v>
      </c>
      <c r="I4" s="2195"/>
      <c r="J4" s="2195"/>
      <c r="K4" s="2195"/>
      <c r="L4" s="2195"/>
      <c r="M4" s="2196"/>
      <c r="N4" s="2194" t="s">
        <v>1926</v>
      </c>
      <c r="O4" s="2195"/>
      <c r="P4" s="2195"/>
      <c r="Q4" s="2195"/>
      <c r="R4" s="2195"/>
      <c r="S4" s="2196"/>
      <c r="T4" s="2194" t="s">
        <v>1927</v>
      </c>
      <c r="U4" s="2195"/>
      <c r="V4" s="2195"/>
      <c r="W4" s="2195"/>
      <c r="X4" s="2195"/>
      <c r="Y4" s="2196"/>
    </row>
    <row r="5" spans="1:32" s="95" customFormat="1" ht="16.5" customHeight="1">
      <c r="B5" s="2197" t="s">
        <v>31</v>
      </c>
      <c r="C5" s="2160" t="s">
        <v>37</v>
      </c>
      <c r="D5" s="2160" t="s">
        <v>38</v>
      </c>
      <c r="E5" s="2160"/>
      <c r="F5" s="2160"/>
      <c r="G5" s="2198"/>
      <c r="H5" s="2197" t="s">
        <v>31</v>
      </c>
      <c r="I5" s="2160" t="s">
        <v>37</v>
      </c>
      <c r="J5" s="2160" t="s">
        <v>38</v>
      </c>
      <c r="K5" s="2160"/>
      <c r="L5" s="2160"/>
      <c r="M5" s="2198"/>
      <c r="N5" s="2197" t="s">
        <v>31</v>
      </c>
      <c r="O5" s="2160" t="s">
        <v>37</v>
      </c>
      <c r="P5" s="2160" t="s">
        <v>38</v>
      </c>
      <c r="Q5" s="2160"/>
      <c r="R5" s="2160"/>
      <c r="S5" s="2198"/>
      <c r="T5" s="2197" t="s">
        <v>31</v>
      </c>
      <c r="U5" s="2160" t="s">
        <v>37</v>
      </c>
      <c r="V5" s="2160" t="s">
        <v>38</v>
      </c>
      <c r="W5" s="2160"/>
      <c r="X5" s="2160"/>
      <c r="Y5" s="2198"/>
    </row>
    <row r="6" spans="1:32" s="95" customFormat="1" ht="36" customHeight="1">
      <c r="B6" s="2197"/>
      <c r="C6" s="2160"/>
      <c r="D6" s="1628">
        <v>0.72</v>
      </c>
      <c r="E6" s="1628">
        <v>0.68</v>
      </c>
      <c r="F6" s="1628">
        <v>0.64</v>
      </c>
      <c r="G6" s="1681">
        <v>0.6</v>
      </c>
      <c r="H6" s="2197"/>
      <c r="I6" s="2160"/>
      <c r="J6" s="1628">
        <v>0.72</v>
      </c>
      <c r="K6" s="1628">
        <v>0.68</v>
      </c>
      <c r="L6" s="1628">
        <v>0.64</v>
      </c>
      <c r="M6" s="1681">
        <v>0.6</v>
      </c>
      <c r="N6" s="2197"/>
      <c r="O6" s="2160"/>
      <c r="P6" s="1628">
        <v>0.72</v>
      </c>
      <c r="Q6" s="1628">
        <v>0.68</v>
      </c>
      <c r="R6" s="1628">
        <v>0.64</v>
      </c>
      <c r="S6" s="1681">
        <v>0.6</v>
      </c>
      <c r="T6" s="2197"/>
      <c r="U6" s="2160"/>
      <c r="V6" s="1628">
        <v>0.72</v>
      </c>
      <c r="W6" s="1628">
        <v>0.68</v>
      </c>
      <c r="X6" s="1628">
        <v>0.64</v>
      </c>
      <c r="Y6" s="1681">
        <v>0.6</v>
      </c>
    </row>
    <row r="7" spans="1:32" s="95" customFormat="1">
      <c r="B7" s="1682">
        <v>50</v>
      </c>
      <c r="C7" s="1626">
        <v>0.78</v>
      </c>
      <c r="D7" s="1680">
        <f>T20</f>
        <v>311.03202814004658</v>
      </c>
      <c r="E7" s="1680">
        <f t="shared" ref="E7:G7" si="0">U20</f>
        <v>518.38671356674354</v>
      </c>
      <c r="F7" s="1680" t="str">
        <f t="shared" si="0"/>
        <v>N/A</v>
      </c>
      <c r="G7" s="1683" t="str">
        <f t="shared" si="0"/>
        <v>N/A</v>
      </c>
      <c r="H7" s="1682">
        <v>50</v>
      </c>
      <c r="I7" s="1626">
        <v>0.75</v>
      </c>
      <c r="J7" s="1680">
        <f>T29</f>
        <v>155.51601407002366</v>
      </c>
      <c r="K7" s="1680">
        <f t="shared" ref="K7:M7" si="1">U29</f>
        <v>362.87069949672065</v>
      </c>
      <c r="L7" s="1680" t="str">
        <f t="shared" si="1"/>
        <v>N/A</v>
      </c>
      <c r="M7" s="1683" t="str">
        <f t="shared" si="1"/>
        <v>N/A</v>
      </c>
      <c r="N7" s="1682">
        <v>50</v>
      </c>
      <c r="O7" s="1626">
        <v>0.78</v>
      </c>
      <c r="P7" s="14" t="str">
        <f>T58</f>
        <v>N/A</v>
      </c>
      <c r="Q7" s="14">
        <f t="shared" ref="Q7:S7" si="2">U58</f>
        <v>88.125741306346541</v>
      </c>
      <c r="R7" s="14">
        <f t="shared" si="2"/>
        <v>139.96441266302077</v>
      </c>
      <c r="S7" s="1689">
        <f t="shared" si="2"/>
        <v>243.64175537636925</v>
      </c>
      <c r="T7" s="1682">
        <v>50</v>
      </c>
      <c r="U7" s="1626">
        <v>0.75</v>
      </c>
      <c r="V7" s="14" t="str">
        <f>T67</f>
        <v>N/A</v>
      </c>
      <c r="W7" s="14">
        <f t="shared" ref="W7:Y7" si="3">U67</f>
        <v>25.91933567833723</v>
      </c>
      <c r="X7" s="14">
        <f t="shared" si="3"/>
        <v>77.758007035011474</v>
      </c>
      <c r="Y7" s="1689">
        <f t="shared" si="3"/>
        <v>181.43534974835995</v>
      </c>
    </row>
    <row r="8" spans="1:32" s="95" customFormat="1">
      <c r="B8" s="1682">
        <v>100</v>
      </c>
      <c r="C8" s="1626">
        <v>0.77500000000000002</v>
      </c>
      <c r="D8" s="1680">
        <f t="shared" ref="D8:D11" si="4">T21</f>
        <v>142.55634623085453</v>
      </c>
      <c r="E8" s="1680">
        <f t="shared" ref="E8:E11" si="5">U21</f>
        <v>246.23368894420295</v>
      </c>
      <c r="F8" s="1680" t="str">
        <f t="shared" ref="F8:F11" si="6">V21</f>
        <v>N/A</v>
      </c>
      <c r="G8" s="1683" t="str">
        <f t="shared" ref="G8:G11" si="7">W21</f>
        <v>N/A</v>
      </c>
      <c r="H8" s="1682">
        <v>100</v>
      </c>
      <c r="I8" s="1626">
        <v>0.72</v>
      </c>
      <c r="J8" s="1680">
        <f t="shared" ref="J8:J11" si="8">T30</f>
        <v>0</v>
      </c>
      <c r="K8" s="1680">
        <f t="shared" ref="K8:K11" si="9">U30</f>
        <v>103.67734271334841</v>
      </c>
      <c r="L8" s="1680" t="str">
        <f t="shared" ref="L8:L11" si="10">V30</f>
        <v>N/A</v>
      </c>
      <c r="M8" s="1683" t="str">
        <f t="shared" ref="M8:M11" si="11">W30</f>
        <v>N/A</v>
      </c>
      <c r="N8" s="1682">
        <v>100</v>
      </c>
      <c r="O8" s="1626">
        <v>0.77500000000000002</v>
      </c>
      <c r="P8" s="14" t="str">
        <f t="shared" ref="P8:P11" si="12">T59</f>
        <v>N/A</v>
      </c>
      <c r="Q8" s="14">
        <f t="shared" ref="Q8:Q11" si="13">U59</f>
        <v>58.750494204231074</v>
      </c>
      <c r="R8" s="14">
        <f t="shared" ref="R8:R11" si="14">V59</f>
        <v>93.309608442013854</v>
      </c>
      <c r="S8" s="1689">
        <f t="shared" ref="S8:S11" si="15">W59</f>
        <v>162.42783691757961</v>
      </c>
      <c r="T8" s="1682">
        <v>100</v>
      </c>
      <c r="U8" s="1626">
        <v>0.72</v>
      </c>
      <c r="V8" s="14" t="str">
        <f t="shared" ref="V8:V11" si="16">T68</f>
        <v>N/A</v>
      </c>
      <c r="W8" s="14">
        <f t="shared" ref="W8:W11" si="17">U68</f>
        <v>17.279557118891582</v>
      </c>
      <c r="X8" s="14">
        <f t="shared" ref="X8:X11" si="18">V68</f>
        <v>51.838671356674361</v>
      </c>
      <c r="Y8" s="1689">
        <f t="shared" ref="Y8:Y11" si="19">W68</f>
        <v>120.95689983224011</v>
      </c>
    </row>
    <row r="9" spans="1:32" s="95" customFormat="1">
      <c r="B9" s="1682">
        <v>150</v>
      </c>
      <c r="C9" s="1626">
        <v>0.68</v>
      </c>
      <c r="D9" s="1680" t="str">
        <f t="shared" si="4"/>
        <v>N/A</v>
      </c>
      <c r="E9" s="1680" t="str">
        <f t="shared" si="5"/>
        <v>N/A</v>
      </c>
      <c r="F9" s="1680" t="str">
        <f t="shared" si="6"/>
        <v>N/A</v>
      </c>
      <c r="G9" s="1683" t="str">
        <f t="shared" si="7"/>
        <v>N/A</v>
      </c>
      <c r="H9" s="1682">
        <v>150</v>
      </c>
      <c r="I9" s="1626">
        <v>0.66</v>
      </c>
      <c r="J9" s="1680" t="str">
        <f t="shared" si="8"/>
        <v>N/A</v>
      </c>
      <c r="K9" s="1680" t="str">
        <f t="shared" si="9"/>
        <v>N/A</v>
      </c>
      <c r="L9" s="1680" t="str">
        <f t="shared" si="10"/>
        <v>N/A</v>
      </c>
      <c r="M9" s="1683" t="str">
        <f t="shared" si="11"/>
        <v>N/A</v>
      </c>
      <c r="N9" s="1682">
        <v>150</v>
      </c>
      <c r="O9" s="1626">
        <v>0.68</v>
      </c>
      <c r="P9" s="14" t="str">
        <f t="shared" si="12"/>
        <v>N/A</v>
      </c>
      <c r="Q9" s="14">
        <f t="shared" si="13"/>
        <v>44.062870653173306</v>
      </c>
      <c r="R9" s="14">
        <f t="shared" si="14"/>
        <v>69.982206331510383</v>
      </c>
      <c r="S9" s="1689">
        <f t="shared" si="15"/>
        <v>121.82087768818462</v>
      </c>
      <c r="T9" s="1682">
        <v>150</v>
      </c>
      <c r="U9" s="1626">
        <v>0.66</v>
      </c>
      <c r="V9" s="14" t="str">
        <f t="shared" si="16"/>
        <v>N/A</v>
      </c>
      <c r="W9" s="14">
        <f t="shared" si="17"/>
        <v>12.959667839168615</v>
      </c>
      <c r="X9" s="14">
        <f t="shared" si="18"/>
        <v>38.879003517505701</v>
      </c>
      <c r="Y9" s="1689">
        <f t="shared" si="19"/>
        <v>90.717674874179934</v>
      </c>
    </row>
    <row r="10" spans="1:32" s="95" customFormat="1">
      <c r="B10" s="1682">
        <v>200</v>
      </c>
      <c r="C10" s="1626">
        <v>0.68</v>
      </c>
      <c r="D10" s="1680" t="str">
        <f t="shared" si="4"/>
        <v>N/A</v>
      </c>
      <c r="E10" s="1680" t="str">
        <f t="shared" si="5"/>
        <v>N/A</v>
      </c>
      <c r="F10" s="1680">
        <f t="shared" si="6"/>
        <v>51.838671356674382</v>
      </c>
      <c r="G10" s="1683">
        <f t="shared" si="7"/>
        <v>103.67734271334876</v>
      </c>
      <c r="H10" s="1682">
        <v>200</v>
      </c>
      <c r="I10" s="1626">
        <v>0.66</v>
      </c>
      <c r="J10" s="1680" t="str">
        <f t="shared" si="8"/>
        <v>N/A</v>
      </c>
      <c r="K10" s="1680" t="str">
        <f t="shared" si="9"/>
        <v>N/A</v>
      </c>
      <c r="L10" s="1680">
        <f t="shared" si="10"/>
        <v>25.919335678337156</v>
      </c>
      <c r="M10" s="1683">
        <f t="shared" si="11"/>
        <v>77.758007035011545</v>
      </c>
      <c r="N10" s="1682">
        <v>200</v>
      </c>
      <c r="O10" s="1626">
        <v>0.68</v>
      </c>
      <c r="P10" s="14" t="str">
        <f t="shared" si="12"/>
        <v>N/A</v>
      </c>
      <c r="Q10" s="14" t="str">
        <f t="shared" si="13"/>
        <v>N/A</v>
      </c>
      <c r="R10" s="14" t="str">
        <f t="shared" si="14"/>
        <v>N/A</v>
      </c>
      <c r="S10" s="1689">
        <f t="shared" si="15"/>
        <v>31.103202814004518</v>
      </c>
      <c r="T10" s="1682">
        <v>200</v>
      </c>
      <c r="U10" s="1626">
        <v>0.66</v>
      </c>
      <c r="V10" s="14" t="str">
        <f t="shared" si="16"/>
        <v>N/A</v>
      </c>
      <c r="W10" s="14" t="str">
        <f t="shared" si="17"/>
        <v>N/A</v>
      </c>
      <c r="X10" s="14" t="str">
        <f t="shared" si="18"/>
        <v>N/A</v>
      </c>
      <c r="Y10" s="1689">
        <f t="shared" si="19"/>
        <v>17.27955711889139</v>
      </c>
    </row>
    <row r="11" spans="1:32" s="95" customFormat="1" ht="15" thickBot="1">
      <c r="B11" s="1684">
        <v>400</v>
      </c>
      <c r="C11" s="1685">
        <v>0.62</v>
      </c>
      <c r="D11" s="1686" t="str">
        <f t="shared" si="4"/>
        <v>N/A</v>
      </c>
      <c r="E11" s="1686" t="str">
        <f t="shared" si="5"/>
        <v>N/A</v>
      </c>
      <c r="F11" s="1686" t="str">
        <f t="shared" si="6"/>
        <v>N/A</v>
      </c>
      <c r="G11" s="1687">
        <f t="shared" si="7"/>
        <v>12.959667839168469</v>
      </c>
      <c r="H11" s="1684">
        <v>400</v>
      </c>
      <c r="I11" s="1685">
        <v>0.61</v>
      </c>
      <c r="J11" s="1686" t="str">
        <f t="shared" si="8"/>
        <v>N/A</v>
      </c>
      <c r="K11" s="1686" t="str">
        <f t="shared" si="9"/>
        <v>N/A</v>
      </c>
      <c r="L11" s="1686" t="str">
        <f t="shared" si="10"/>
        <v>N/A</v>
      </c>
      <c r="M11" s="1687">
        <f t="shared" si="11"/>
        <v>6.4798339195842711</v>
      </c>
      <c r="N11" s="1684">
        <v>400</v>
      </c>
      <c r="O11" s="1685">
        <v>0.62</v>
      </c>
      <c r="P11" s="1690" t="str">
        <f t="shared" si="12"/>
        <v>N/A</v>
      </c>
      <c r="Q11" s="1690" t="str">
        <f t="shared" si="13"/>
        <v>N/A</v>
      </c>
      <c r="R11" s="1690" t="str">
        <f t="shared" si="14"/>
        <v>N/A</v>
      </c>
      <c r="S11" s="1691">
        <f t="shared" si="15"/>
        <v>12.959667839168493</v>
      </c>
      <c r="T11" s="1684">
        <v>400</v>
      </c>
      <c r="U11" s="1685">
        <v>0.61</v>
      </c>
      <c r="V11" s="1690" t="str">
        <f t="shared" si="16"/>
        <v>N/A</v>
      </c>
      <c r="W11" s="1690" t="str">
        <f t="shared" si="17"/>
        <v>N/A</v>
      </c>
      <c r="X11" s="1690" t="str">
        <f t="shared" si="18"/>
        <v>N/A</v>
      </c>
      <c r="Y11" s="1691">
        <f t="shared" si="19"/>
        <v>8.6397785594456469</v>
      </c>
    </row>
    <row r="12" spans="1:32" s="95" customFormat="1"/>
    <row r="13" spans="1:32" s="95" customFormat="1"/>
    <row r="14" spans="1:32" s="95" customFormat="1"/>
    <row r="15" spans="1:32" s="95" customFormat="1"/>
    <row r="16" spans="1:32" ht="18.75" customHeight="1">
      <c r="A16" s="2186" t="s">
        <v>1791</v>
      </c>
      <c r="B16" s="2186"/>
      <c r="C16" s="2186"/>
      <c r="D16" s="2186"/>
      <c r="E16" s="2186"/>
      <c r="F16" s="2186"/>
      <c r="G16" s="2186"/>
      <c r="H16" s="2186"/>
      <c r="I16" s="2186"/>
      <c r="J16" s="2186"/>
      <c r="K16" s="2186"/>
      <c r="L16" s="2186"/>
      <c r="M16" s="2186"/>
      <c r="N16" s="2186"/>
      <c r="O16" s="2186"/>
      <c r="P16" s="2186"/>
      <c r="Q16" s="2186"/>
      <c r="R16" s="2186"/>
      <c r="S16" s="2186"/>
      <c r="T16" s="2186"/>
      <c r="U16" s="2186"/>
      <c r="V16" s="2186"/>
      <c r="W16" s="2186"/>
      <c r="Y16" s="2190" t="s">
        <v>237</v>
      </c>
      <c r="Z16" s="2190"/>
      <c r="AA16" s="2190"/>
      <c r="AB16" s="2190"/>
      <c r="AC16" s="2190"/>
      <c r="AE16" s="2187" t="s">
        <v>524</v>
      </c>
      <c r="AF16" s="2187"/>
    </row>
    <row r="17" spans="1:32" ht="36.75" customHeight="1">
      <c r="A17" s="2181" t="s">
        <v>152</v>
      </c>
      <c r="B17" s="2193" t="s">
        <v>31</v>
      </c>
      <c r="C17" s="2180" t="s">
        <v>37</v>
      </c>
      <c r="D17" s="2180" t="s">
        <v>44</v>
      </c>
      <c r="E17" s="2180" t="s">
        <v>113</v>
      </c>
      <c r="F17" s="2180" t="s">
        <v>423</v>
      </c>
      <c r="G17" s="2180"/>
      <c r="H17" s="2180"/>
      <c r="I17" s="2180"/>
      <c r="J17" s="2180" t="s">
        <v>425</v>
      </c>
      <c r="K17" s="2180"/>
      <c r="L17" s="2180"/>
      <c r="M17" s="2180"/>
      <c r="N17" s="63"/>
      <c r="O17" s="2180" t="s">
        <v>31</v>
      </c>
      <c r="P17" s="2175" t="s">
        <v>1800</v>
      </c>
      <c r="Q17" s="2176"/>
      <c r="R17" s="2176"/>
      <c r="S17" s="2176"/>
      <c r="T17" s="2175" t="s">
        <v>1801</v>
      </c>
      <c r="U17" s="2176"/>
      <c r="V17" s="2176"/>
      <c r="W17" s="2176"/>
      <c r="Y17" s="29" t="s">
        <v>243</v>
      </c>
      <c r="Z17" s="29" t="s">
        <v>239</v>
      </c>
      <c r="AA17" s="20" t="s">
        <v>238</v>
      </c>
      <c r="AB17" s="29" t="s">
        <v>240</v>
      </c>
      <c r="AC17" s="29" t="s">
        <v>241</v>
      </c>
      <c r="AE17" s="2187"/>
      <c r="AF17" s="2187"/>
    </row>
    <row r="18" spans="1:32" ht="15.75" customHeight="1">
      <c r="A18" s="2182"/>
      <c r="B18" s="2185"/>
      <c r="C18" s="2160"/>
      <c r="D18" s="2160"/>
      <c r="E18" s="2160"/>
      <c r="F18" s="2160" t="s">
        <v>229</v>
      </c>
      <c r="G18" s="2160"/>
      <c r="H18" s="2160"/>
      <c r="I18" s="2160"/>
      <c r="J18" s="2160" t="s">
        <v>229</v>
      </c>
      <c r="K18" s="2160"/>
      <c r="L18" s="2160"/>
      <c r="M18" s="2160"/>
      <c r="N18" s="63"/>
      <c r="O18" s="2160"/>
      <c r="P18" s="2160" t="s">
        <v>229</v>
      </c>
      <c r="Q18" s="2160"/>
      <c r="R18" s="2160"/>
      <c r="S18" s="2160"/>
      <c r="T18" s="2160" t="s">
        <v>229</v>
      </c>
      <c r="U18" s="2160"/>
      <c r="V18" s="2160"/>
      <c r="W18" s="2160"/>
      <c r="Y18" s="2188" t="s">
        <v>247</v>
      </c>
      <c r="Z18" s="2189" t="s">
        <v>245</v>
      </c>
      <c r="AA18" s="64">
        <v>100</v>
      </c>
      <c r="AB18" s="3">
        <f>'Labor Results Matrix'!$L$149*'Labor Adjustment'!$B$5</f>
        <v>252.96139159912792</v>
      </c>
      <c r="AC18" s="3">
        <f>AB18*Inflation!$D$3</f>
        <v>272.74134494978676</v>
      </c>
      <c r="AE18" s="2187"/>
      <c r="AF18" s="2187"/>
    </row>
    <row r="19" spans="1:32" ht="15.75" customHeight="1">
      <c r="A19" s="2182"/>
      <c r="B19" s="2185"/>
      <c r="C19" s="2160"/>
      <c r="D19" s="2160"/>
      <c r="E19" s="2160"/>
      <c r="F19" s="7">
        <v>0.72</v>
      </c>
      <c r="G19" s="7">
        <v>0.68</v>
      </c>
      <c r="H19" s="7">
        <v>0.64</v>
      </c>
      <c r="I19" s="7">
        <v>0.6</v>
      </c>
      <c r="J19" s="26">
        <v>0.72</v>
      </c>
      <c r="K19" s="26">
        <v>0.68</v>
      </c>
      <c r="L19" s="26">
        <v>0.64</v>
      </c>
      <c r="M19" s="26">
        <v>0.6</v>
      </c>
      <c r="N19" s="63"/>
      <c r="O19" s="2160"/>
      <c r="P19" s="7">
        <v>0.72</v>
      </c>
      <c r="Q19" s="7">
        <v>0.68</v>
      </c>
      <c r="R19" s="7">
        <v>0.64</v>
      </c>
      <c r="S19" s="7">
        <v>0.6</v>
      </c>
      <c r="T19" s="26">
        <v>0.72</v>
      </c>
      <c r="U19" s="26">
        <v>0.68</v>
      </c>
      <c r="V19" s="26">
        <v>0.64</v>
      </c>
      <c r="W19" s="26">
        <v>0.6</v>
      </c>
      <c r="Y19" s="2188"/>
      <c r="Z19" s="2189"/>
      <c r="AA19" s="64">
        <v>200</v>
      </c>
      <c r="AB19" s="3">
        <f>'Labor Results Matrix'!$L$150*'Labor Adjustment'!$B$5</f>
        <v>209.13198448341078</v>
      </c>
      <c r="AC19" s="3">
        <f>AB19*Inflation!$D$3</f>
        <v>225.48476018195666</v>
      </c>
      <c r="AE19" s="2187"/>
      <c r="AF19" s="2187"/>
    </row>
    <row r="20" spans="1:32" ht="15.75" customHeight="1">
      <c r="A20" s="2182"/>
      <c r="B20" s="45">
        <v>50</v>
      </c>
      <c r="C20" s="8">
        <v>0.78</v>
      </c>
      <c r="D20" s="6">
        <f>(($B20*'Equipment Results Matrix'!$R$267)+($C20*'Equipment Results Matrix'!$R$268)+'Equipment Results Matrix'!$R$270+'Equipment Results Matrix'!$T$274)*(1+'Equipment Results Matrix'!$T$276)</f>
        <v>24228.095944799981</v>
      </c>
      <c r="E20" s="44">
        <f>D20*Inflation!$D$3</f>
        <v>26122.577171891244</v>
      </c>
      <c r="F20" s="6">
        <f>(($B20*'Equipment Results Matrix'!$R$267)+(F$19*'Equipment Results Matrix'!$R$268)+'Equipment Results Matrix'!$R$270+'Equipment Results Matrix'!$T$274)*(1+'Equipment Results Matrix'!$T$276)</f>
        <v>38651.852395200003</v>
      </c>
      <c r="G20" s="6">
        <f>(($B20*'Equipment Results Matrix'!$R$267)+(G$19*'Equipment Results Matrix'!$R$268)+'Equipment Results Matrix'!$R$270+'Equipment Results Matrix'!$T$274)*(1+'Equipment Results Matrix'!$T$276)</f>
        <v>48267.690028799989</v>
      </c>
      <c r="H20" s="8" t="s">
        <v>35</v>
      </c>
      <c r="I20" s="8" t="s">
        <v>35</v>
      </c>
      <c r="J20" s="43">
        <f>F20*Inflation!$D$3</f>
        <v>41674.178578893574</v>
      </c>
      <c r="K20" s="43">
        <f>G20*Inflation!$D$3</f>
        <v>52041.912850228422</v>
      </c>
      <c r="L20" s="42" t="s">
        <v>35</v>
      </c>
      <c r="M20" s="42" t="s">
        <v>35</v>
      </c>
      <c r="N20" s="63"/>
      <c r="O20" s="8">
        <v>50</v>
      </c>
      <c r="P20" s="9">
        <f>(F20-$D20)/$O20</f>
        <v>288.47512900800047</v>
      </c>
      <c r="Q20" s="9">
        <f>(G20-$D20)/$O20</f>
        <v>480.79188168000013</v>
      </c>
      <c r="R20" s="8" t="s">
        <v>35</v>
      </c>
      <c r="S20" s="8" t="s">
        <v>35</v>
      </c>
      <c r="T20" s="1469">
        <f>(J20-$E20)/$O20</f>
        <v>311.03202814004658</v>
      </c>
      <c r="U20" s="1469">
        <f>(K20-$E20)/$O20</f>
        <v>518.38671356674354</v>
      </c>
      <c r="V20" s="1470" t="s">
        <v>35</v>
      </c>
      <c r="W20" s="1470" t="s">
        <v>35</v>
      </c>
      <c r="Y20" s="2188"/>
      <c r="Z20" s="2189"/>
      <c r="AA20" s="65">
        <v>300</v>
      </c>
      <c r="AB20" s="3">
        <f>+'Labor Results Matrix'!$L$151*'Labor Adjustment'!$B$5</f>
        <v>175.51137705501623</v>
      </c>
      <c r="AC20" s="3">
        <f>AB20*Inflation!$D$3</f>
        <v>189.23523755685764</v>
      </c>
    </row>
    <row r="21" spans="1:32" ht="15.75" customHeight="1">
      <c r="A21" s="2182"/>
      <c r="B21" s="45">
        <v>100</v>
      </c>
      <c r="C21" s="8">
        <v>0.77500000000000002</v>
      </c>
      <c r="D21" s="6">
        <f>(($B21*'Equipment Results Matrix'!$R$267)+($C21*'Equipment Results Matrix'!$R$268)+'Equipment Results Matrix'!$R$270+'Equipment Results Matrix'!$T$274)*(1+'Equipment Results Matrix'!$T$276)</f>
        <v>40507.625648999994</v>
      </c>
      <c r="E21" s="44">
        <f>D21*Inflation!$D$3</f>
        <v>43675.061361691311</v>
      </c>
      <c r="F21" s="6">
        <f>(($B21*'Equipment Results Matrix'!$R$267)+(F$19*'Equipment Results Matrix'!$R$268)+'Equipment Results Matrix'!$R$270+'Equipment Results Matrix'!$T$274)*(1+'Equipment Results Matrix'!$T$276)</f>
        <v>53729.402395200006</v>
      </c>
      <c r="G21" s="6">
        <f>(($B21*'Equipment Results Matrix'!$R$267)+(G$19*'Equipment Results Matrix'!$R$268)+'Equipment Results Matrix'!$R$270+'Equipment Results Matrix'!$T$274)*(1+'Equipment Results Matrix'!$T$276)</f>
        <v>63345.240028799984</v>
      </c>
      <c r="H21" s="8" t="s">
        <v>35</v>
      </c>
      <c r="I21" s="8" t="s">
        <v>35</v>
      </c>
      <c r="J21" s="43">
        <f>F21*Inflation!$D$3</f>
        <v>57930.695984776765</v>
      </c>
      <c r="K21" s="43">
        <f>G21*Inflation!$D$3</f>
        <v>68298.430256111606</v>
      </c>
      <c r="L21" s="42" t="s">
        <v>35</v>
      </c>
      <c r="M21" s="42" t="s">
        <v>35</v>
      </c>
      <c r="N21" s="63"/>
      <c r="O21" s="8">
        <v>100</v>
      </c>
      <c r="P21" s="9">
        <f>(F21-$D21)/$O21</f>
        <v>132.21776746200013</v>
      </c>
      <c r="Q21" s="9">
        <f>(G21-$D21)/$O21</f>
        <v>228.3761437979999</v>
      </c>
      <c r="R21" s="8" t="s">
        <v>35</v>
      </c>
      <c r="S21" s="8" t="s">
        <v>35</v>
      </c>
      <c r="T21" s="1469">
        <f>(J21-$E21)/$O21</f>
        <v>142.55634623085453</v>
      </c>
      <c r="U21" s="1469">
        <f>(K21-$E21)/$O21</f>
        <v>246.23368894420295</v>
      </c>
      <c r="V21" s="1470" t="s">
        <v>35</v>
      </c>
      <c r="W21" s="1470" t="s">
        <v>35</v>
      </c>
      <c r="Y21" s="2188"/>
      <c r="Z21" s="2189" t="s">
        <v>244</v>
      </c>
      <c r="AA21" s="64">
        <v>100</v>
      </c>
      <c r="AB21" s="3">
        <f>'Labor Results Matrix'!$L$152*'Labor Adjustment'!$B$5</f>
        <v>291.19658294405627</v>
      </c>
      <c r="AC21" s="3">
        <f>AB21*Inflation!$D$3</f>
        <v>313.96628226494084</v>
      </c>
    </row>
    <row r="22" spans="1:32" ht="15.75" customHeight="1">
      <c r="A22" s="2182"/>
      <c r="B22" s="45">
        <v>150</v>
      </c>
      <c r="C22" s="8">
        <v>0.68</v>
      </c>
      <c r="D22" s="6">
        <f>(($B22*'Equipment Results Matrix'!$R$267)+($C22*'Equipment Results Matrix'!$R$268)+'Equipment Results Matrix'!$R$270+'Equipment Results Matrix'!$T$274)*(1+'Equipment Results Matrix'!$T$276)</f>
        <v>78422.79002879998</v>
      </c>
      <c r="E22" s="44">
        <f>D22*Inflation!$D$3</f>
        <v>84554.947661994796</v>
      </c>
      <c r="F22" s="8" t="s">
        <v>35</v>
      </c>
      <c r="G22" s="8" t="s">
        <v>35</v>
      </c>
      <c r="H22" s="8" t="s">
        <v>35</v>
      </c>
      <c r="I22" s="8" t="s">
        <v>35</v>
      </c>
      <c r="J22" s="42" t="s">
        <v>35</v>
      </c>
      <c r="K22" s="42" t="s">
        <v>35</v>
      </c>
      <c r="L22" s="42" t="s">
        <v>35</v>
      </c>
      <c r="M22" s="42" t="s">
        <v>35</v>
      </c>
      <c r="N22" s="63"/>
      <c r="O22" s="8">
        <v>150</v>
      </c>
      <c r="P22" s="8" t="s">
        <v>35</v>
      </c>
      <c r="Q22" s="8" t="s">
        <v>35</v>
      </c>
      <c r="R22" s="8" t="s">
        <v>35</v>
      </c>
      <c r="S22" s="8" t="s">
        <v>35</v>
      </c>
      <c r="T22" s="1470" t="s">
        <v>35</v>
      </c>
      <c r="U22" s="1470" t="s">
        <v>35</v>
      </c>
      <c r="V22" s="1470" t="s">
        <v>35</v>
      </c>
      <c r="W22" s="1470" t="s">
        <v>35</v>
      </c>
      <c r="Y22" s="2188"/>
      <c r="Z22" s="2189"/>
      <c r="AA22" s="64">
        <v>200</v>
      </c>
      <c r="AB22" s="3">
        <f>'Labor Results Matrix'!$L$153*'Labor Adjustment'!$B$5</f>
        <v>231.13528254113879</v>
      </c>
      <c r="AC22" s="3">
        <f>AB22*Inflation!$D$3</f>
        <v>249.20857458564237</v>
      </c>
    </row>
    <row r="23" spans="1:32" ht="15.6">
      <c r="A23" s="2182"/>
      <c r="B23" s="45">
        <v>200</v>
      </c>
      <c r="C23" s="8">
        <v>0.68</v>
      </c>
      <c r="D23" s="6">
        <f>(($B23*'Equipment Results Matrix'!$R$267)+($C23*'Equipment Results Matrix'!$R$268)+'Equipment Results Matrix'!$R$270+'Equipment Results Matrix'!$T$274)*(1+'Equipment Results Matrix'!$T$276)</f>
        <v>93500.340028799983</v>
      </c>
      <c r="E23" s="44">
        <f>D23*Inflation!$D$3</f>
        <v>100811.46506787799</v>
      </c>
      <c r="F23" s="8" t="s">
        <v>35</v>
      </c>
      <c r="G23" s="8" t="s">
        <v>35</v>
      </c>
      <c r="H23" s="6">
        <f>(($B23*'Equipment Results Matrix'!$R$267)+(H$19*'Equipment Results Matrix'!$R$268)+'Equipment Results Matrix'!$R$270+'Equipment Results Matrix'!$T$274)*(1+'Equipment Results Matrix'!$T$276)</f>
        <v>103116.17766239999</v>
      </c>
      <c r="I23" s="6">
        <f>(($B23*'Equipment Results Matrix'!$R$267)+(I$19*'Equipment Results Matrix'!$R$268)+'Equipment Results Matrix'!$R$270+'Equipment Results Matrix'!$T$274)*(1+'Equipment Results Matrix'!$T$276)</f>
        <v>112732.015296</v>
      </c>
      <c r="J23" s="42" t="s">
        <v>35</v>
      </c>
      <c r="K23" s="42" t="s">
        <v>35</v>
      </c>
      <c r="L23" s="43">
        <f>H23*Inflation!$D$3</f>
        <v>111179.19933921286</v>
      </c>
      <c r="M23" s="43">
        <f>I23*Inflation!$D$3</f>
        <v>121546.93361054774</v>
      </c>
      <c r="N23" s="63"/>
      <c r="O23" s="8">
        <v>200</v>
      </c>
      <c r="P23" s="8" t="s">
        <v>35</v>
      </c>
      <c r="Q23" s="8" t="s">
        <v>35</v>
      </c>
      <c r="R23" s="9">
        <f>(H23-$D23)/$O23</f>
        <v>48.079188168000037</v>
      </c>
      <c r="S23" s="9">
        <f>(I23-$D23)/$O23</f>
        <v>96.158376336000075</v>
      </c>
      <c r="T23" s="1470" t="s">
        <v>35</v>
      </c>
      <c r="U23" s="1470" t="s">
        <v>35</v>
      </c>
      <c r="V23" s="1469">
        <f>(L23-$E23)/$O23</f>
        <v>51.838671356674382</v>
      </c>
      <c r="W23" s="1469">
        <f>(M23-$E23)/$O23</f>
        <v>103.67734271334876</v>
      </c>
      <c r="Y23" s="2188"/>
      <c r="Z23" s="2189"/>
      <c r="AA23" s="65">
        <v>300</v>
      </c>
      <c r="AB23" s="3">
        <f>'Labor Results Matrix'!$L$154*'Labor Adjustment'!$B$5</f>
        <v>187.6846721697961</v>
      </c>
      <c r="AC23" s="3">
        <f>AB23*Inflation!$D$3</f>
        <v>202.36040603054016</v>
      </c>
    </row>
    <row r="24" spans="1:32" ht="15.6">
      <c r="A24" s="2182"/>
      <c r="B24" s="46">
        <v>400</v>
      </c>
      <c r="C24" s="47">
        <v>0.62</v>
      </c>
      <c r="D24" s="48">
        <f>(($B24*'Equipment Results Matrix'!$R$267)+($C24*'Equipment Results Matrix'!$R$268)+'Equipment Results Matrix'!$R$270+'Equipment Results Matrix'!$T$274)*(1+'Equipment Results Matrix'!$T$276)</f>
        <v>168234.29647920001</v>
      </c>
      <c r="E24" s="44">
        <f>D24*Inflation!$D$3</f>
        <v>181389.13609841309</v>
      </c>
      <c r="F24" s="8" t="s">
        <v>35</v>
      </c>
      <c r="G24" s="8" t="s">
        <v>35</v>
      </c>
      <c r="H24" s="8" t="s">
        <v>35</v>
      </c>
      <c r="I24" s="6">
        <f>(($B24*'Equipment Results Matrix'!$R$267)+(I$19*'Equipment Results Matrix'!$R$268)+'Equipment Results Matrix'!$R$270+'Equipment Results Matrix'!$T$274)*(1+'Equipment Results Matrix'!$T$276)</f>
        <v>173042.21529599998</v>
      </c>
      <c r="J24" s="42" t="s">
        <v>35</v>
      </c>
      <c r="K24" s="42" t="s">
        <v>35</v>
      </c>
      <c r="L24" s="42" t="s">
        <v>35</v>
      </c>
      <c r="M24" s="43">
        <f>I24*Inflation!$D$3</f>
        <v>186573.00323408048</v>
      </c>
      <c r="N24" s="63"/>
      <c r="O24" s="47">
        <v>400</v>
      </c>
      <c r="P24" s="8" t="s">
        <v>35</v>
      </c>
      <c r="Q24" s="8" t="s">
        <v>35</v>
      </c>
      <c r="R24" s="8" t="s">
        <v>35</v>
      </c>
      <c r="S24" s="9">
        <f>(I24-$D24)/$O24</f>
        <v>12.019797041999919</v>
      </c>
      <c r="T24" s="1470" t="s">
        <v>35</v>
      </c>
      <c r="U24" s="1470" t="s">
        <v>35</v>
      </c>
      <c r="V24" s="1470" t="s">
        <v>35</v>
      </c>
      <c r="W24" s="1469">
        <f>(M24-$E24)/$O24</f>
        <v>12.959667839168469</v>
      </c>
      <c r="Y24" s="2188"/>
      <c r="Z24" s="1989" t="s">
        <v>242</v>
      </c>
      <c r="AA24" s="64">
        <v>100</v>
      </c>
      <c r="AB24" s="3">
        <f>'Labor Results Matrix'!$L$155*'Labor Adjustment'!$B$5</f>
        <v>274.29500431807992</v>
      </c>
      <c r="AC24" s="3">
        <f>AB24*Inflation!$D$3</f>
        <v>295.74310892974461</v>
      </c>
    </row>
    <row r="25" spans="1:32">
      <c r="A25" s="2182"/>
      <c r="B25" s="2191" t="s">
        <v>47</v>
      </c>
      <c r="C25" s="2192"/>
      <c r="D25" s="2192"/>
      <c r="E25" s="2192"/>
      <c r="F25" s="2192"/>
      <c r="G25" s="2192"/>
      <c r="H25" s="2192"/>
      <c r="I25" s="2192"/>
      <c r="J25" s="2192"/>
      <c r="K25" s="2192"/>
      <c r="L25" s="2192"/>
      <c r="M25" s="2192"/>
      <c r="N25" s="2192"/>
      <c r="O25" s="2192"/>
      <c r="P25" s="2192"/>
      <c r="Q25" s="2192"/>
      <c r="R25" s="2192"/>
      <c r="S25" s="2192"/>
      <c r="T25" s="2192"/>
      <c r="U25" s="2192"/>
      <c r="V25" s="2192"/>
      <c r="W25" s="2192"/>
      <c r="Y25" s="2188"/>
      <c r="Z25" s="1989"/>
      <c r="AA25" s="64">
        <v>200</v>
      </c>
      <c r="AB25" s="3">
        <f>'Labor Results Matrix'!$L$156*'Labor Adjustment'!$B$5</f>
        <v>216.12506657660674</v>
      </c>
      <c r="AC25" s="3">
        <f>AB25*Inflation!$D$3</f>
        <v>233.02465630359515</v>
      </c>
    </row>
    <row r="26" spans="1:32" ht="15.75" customHeight="1">
      <c r="A26" s="2182"/>
      <c r="B26" s="2185" t="s">
        <v>31</v>
      </c>
      <c r="C26" s="2160" t="s">
        <v>37</v>
      </c>
      <c r="D26" s="2160" t="s">
        <v>44</v>
      </c>
      <c r="E26" s="2160" t="s">
        <v>113</v>
      </c>
      <c r="F26" s="2160" t="s">
        <v>423</v>
      </c>
      <c r="G26" s="2160"/>
      <c r="H26" s="2160"/>
      <c r="I26" s="2160"/>
      <c r="J26" s="2160" t="s">
        <v>425</v>
      </c>
      <c r="K26" s="2160"/>
      <c r="L26" s="2160"/>
      <c r="M26" s="2160"/>
      <c r="N26" s="63"/>
      <c r="O26" s="2160" t="s">
        <v>31</v>
      </c>
      <c r="P26" s="2177" t="s">
        <v>1800</v>
      </c>
      <c r="Q26" s="2178"/>
      <c r="R26" s="2178"/>
      <c r="S26" s="2178"/>
      <c r="T26" s="2177" t="s">
        <v>1801</v>
      </c>
      <c r="U26" s="2178"/>
      <c r="V26" s="2178"/>
      <c r="W26" s="2178"/>
    </row>
    <row r="27" spans="1:32" ht="15.75" customHeight="1">
      <c r="A27" s="2182"/>
      <c r="B27" s="2185"/>
      <c r="C27" s="2160"/>
      <c r="D27" s="2160"/>
      <c r="E27" s="2160"/>
      <c r="F27" s="2183" t="s">
        <v>229</v>
      </c>
      <c r="G27" s="2184"/>
      <c r="H27" s="2184"/>
      <c r="I27" s="2185"/>
      <c r="J27" s="2160" t="s">
        <v>229</v>
      </c>
      <c r="K27" s="2160"/>
      <c r="L27" s="2160"/>
      <c r="M27" s="2160"/>
      <c r="N27" s="63"/>
      <c r="O27" s="2160"/>
      <c r="P27" s="2160" t="s">
        <v>229</v>
      </c>
      <c r="Q27" s="2160"/>
      <c r="R27" s="2160"/>
      <c r="S27" s="2160"/>
      <c r="T27" s="2160" t="s">
        <v>229</v>
      </c>
      <c r="U27" s="2160"/>
      <c r="V27" s="2160"/>
      <c r="W27" s="2160"/>
    </row>
    <row r="28" spans="1:32" ht="15.75" customHeight="1">
      <c r="A28" s="2182"/>
      <c r="B28" s="2185"/>
      <c r="C28" s="2160"/>
      <c r="D28" s="2160"/>
      <c r="E28" s="2160"/>
      <c r="F28" s="7">
        <v>0.72</v>
      </c>
      <c r="G28" s="7">
        <v>0.68</v>
      </c>
      <c r="H28" s="7">
        <v>0.64</v>
      </c>
      <c r="I28" s="7">
        <v>0.6</v>
      </c>
      <c r="J28" s="26">
        <v>0.72</v>
      </c>
      <c r="K28" s="26">
        <v>0.68</v>
      </c>
      <c r="L28" s="26">
        <v>0.64</v>
      </c>
      <c r="M28" s="26">
        <v>0.6</v>
      </c>
      <c r="N28" s="63"/>
      <c r="O28" s="2160"/>
      <c r="P28" s="7">
        <v>0.72</v>
      </c>
      <c r="Q28" s="7">
        <v>0.68</v>
      </c>
      <c r="R28" s="7">
        <v>0.64</v>
      </c>
      <c r="S28" s="7">
        <v>0.6</v>
      </c>
      <c r="T28" s="26">
        <v>0.72</v>
      </c>
      <c r="U28" s="26">
        <v>0.68</v>
      </c>
      <c r="V28" s="26">
        <v>0.64</v>
      </c>
      <c r="W28" s="26">
        <v>0.6</v>
      </c>
    </row>
    <row r="29" spans="1:32" ht="15.6">
      <c r="A29" s="2182"/>
      <c r="B29" s="45">
        <v>50</v>
      </c>
      <c r="C29" s="8">
        <v>0.75</v>
      </c>
      <c r="D29" s="6">
        <f>(($B29*'Equipment Results Matrix'!$R$267)+($C29*'Equipment Results Matrix'!$R$268)+'Equipment Results Matrix'!$R$270+'Equipment Results Matrix'!$T$274)*(1+'Equipment Results Matrix'!$T$276)</f>
        <v>31439.974169999976</v>
      </c>
      <c r="E29" s="44">
        <f>D29*Inflation!$D$3</f>
        <v>33898.377875392391</v>
      </c>
      <c r="F29" s="6">
        <f>(($B29*'Equipment Results Matrix'!$R$267)+(F$28*'Equipment Results Matrix'!$R$268)+'Equipment Results Matrix'!$R$270+'Equipment Results Matrix'!$T$274)*(1+'Equipment Results Matrix'!$T$276)</f>
        <v>38651.852395200003</v>
      </c>
      <c r="G29" s="6">
        <f>(($B29*'Equipment Results Matrix'!$R$267)+(G$28*'Equipment Results Matrix'!$R$268)+'Equipment Results Matrix'!$R$270+'Equipment Results Matrix'!$T$274)*(1+'Equipment Results Matrix'!$T$276)</f>
        <v>48267.690028799989</v>
      </c>
      <c r="H29" s="6" t="s">
        <v>35</v>
      </c>
      <c r="I29" s="6" t="s">
        <v>35</v>
      </c>
      <c r="J29" s="43">
        <f>F29*Inflation!$D$3</f>
        <v>41674.178578893574</v>
      </c>
      <c r="K29" s="43">
        <f>G29*Inflation!$D$3</f>
        <v>52041.912850228422</v>
      </c>
      <c r="L29" s="42" t="s">
        <v>35</v>
      </c>
      <c r="M29" s="42" t="s">
        <v>35</v>
      </c>
      <c r="N29" s="63"/>
      <c r="O29" s="8">
        <v>50</v>
      </c>
      <c r="P29" s="9">
        <f>(F29-$D29)/$O29</f>
        <v>144.23756450400055</v>
      </c>
      <c r="Q29" s="9">
        <f>(G29-$D29)/$O29</f>
        <v>336.55431717600027</v>
      </c>
      <c r="R29" s="8" t="s">
        <v>35</v>
      </c>
      <c r="S29" s="8" t="s">
        <v>35</v>
      </c>
      <c r="T29" s="1469">
        <f>(J29-$E29)/$O29</f>
        <v>155.51601407002366</v>
      </c>
      <c r="U29" s="1469">
        <f>(K29-$E29)/$O29</f>
        <v>362.87069949672065</v>
      </c>
      <c r="V29" s="1470" t="s">
        <v>35</v>
      </c>
      <c r="W29" s="1470" t="s">
        <v>35</v>
      </c>
    </row>
    <row r="30" spans="1:32" ht="15.6">
      <c r="A30" s="2182"/>
      <c r="B30" s="45">
        <v>100</v>
      </c>
      <c r="C30" s="8">
        <v>0.72</v>
      </c>
      <c r="D30" s="6">
        <f>(($B30*'Equipment Results Matrix'!$R$267)+($C30*'Equipment Results Matrix'!$R$268)+'Equipment Results Matrix'!$R$270+'Equipment Results Matrix'!$T$274)*(1+'Equipment Results Matrix'!$T$276)</f>
        <v>53729.402395200006</v>
      </c>
      <c r="E30" s="44">
        <f>D30*Inflation!$D$3</f>
        <v>57930.695984776765</v>
      </c>
      <c r="F30" s="6">
        <f>(($B30*'Equipment Results Matrix'!$R$267)+(F$28*'Equipment Results Matrix'!$R$268)+'Equipment Results Matrix'!$R$270+'Equipment Results Matrix'!$T$274)*(1+'Equipment Results Matrix'!$T$276)</f>
        <v>53729.402395200006</v>
      </c>
      <c r="G30" s="6">
        <f>(($B30*'Equipment Results Matrix'!$R$267)+(G$28*'Equipment Results Matrix'!$R$268)+'Equipment Results Matrix'!$R$270+'Equipment Results Matrix'!$T$274)*(1+'Equipment Results Matrix'!$T$276)</f>
        <v>63345.240028799984</v>
      </c>
      <c r="H30" s="6" t="s">
        <v>35</v>
      </c>
      <c r="I30" s="6" t="s">
        <v>35</v>
      </c>
      <c r="J30" s="43">
        <f>F30*Inflation!$D$3</f>
        <v>57930.695984776765</v>
      </c>
      <c r="K30" s="43">
        <f>G30*Inflation!$D$3</f>
        <v>68298.430256111606</v>
      </c>
      <c r="L30" s="42" t="s">
        <v>35</v>
      </c>
      <c r="M30" s="42" t="s">
        <v>35</v>
      </c>
      <c r="N30" s="63"/>
      <c r="O30" s="8">
        <v>100</v>
      </c>
      <c r="P30" s="9">
        <f>(F30-$D30)/$O30</f>
        <v>0</v>
      </c>
      <c r="Q30" s="9">
        <f>(G30-$D30)/$O30</f>
        <v>96.158376335999776</v>
      </c>
      <c r="R30" s="8" t="s">
        <v>35</v>
      </c>
      <c r="S30" s="8" t="s">
        <v>35</v>
      </c>
      <c r="T30" s="1469">
        <f>(J30-$E30)/$O30</f>
        <v>0</v>
      </c>
      <c r="U30" s="1469">
        <f>(K30-$E30)/$O30</f>
        <v>103.67734271334841</v>
      </c>
      <c r="V30" s="1470" t="s">
        <v>35</v>
      </c>
      <c r="W30" s="1470" t="s">
        <v>35</v>
      </c>
    </row>
    <row r="31" spans="1:32" ht="15.6">
      <c r="A31" s="2182"/>
      <c r="B31" s="45">
        <v>150</v>
      </c>
      <c r="C31" s="8">
        <v>0.66</v>
      </c>
      <c r="D31" s="6">
        <f>(($B31*'Equipment Results Matrix'!$R$267)+($C31*'Equipment Results Matrix'!$R$268)+'Equipment Results Matrix'!$R$270+'Equipment Results Matrix'!$T$274)*(1+'Equipment Results Matrix'!$T$276)</f>
        <v>83230.708845599991</v>
      </c>
      <c r="E31" s="44">
        <f>D31*Inflation!$D$3</f>
        <v>89738.814797662242</v>
      </c>
      <c r="F31" s="6" t="s">
        <v>35</v>
      </c>
      <c r="G31" s="6" t="s">
        <v>35</v>
      </c>
      <c r="H31" s="6" t="s">
        <v>35</v>
      </c>
      <c r="I31" s="6" t="s">
        <v>35</v>
      </c>
      <c r="J31" s="42" t="s">
        <v>35</v>
      </c>
      <c r="K31" s="42" t="s">
        <v>35</v>
      </c>
      <c r="L31" s="42" t="s">
        <v>35</v>
      </c>
      <c r="M31" s="42" t="s">
        <v>35</v>
      </c>
      <c r="N31" s="63"/>
      <c r="O31" s="8">
        <v>150</v>
      </c>
      <c r="P31" s="8" t="s">
        <v>35</v>
      </c>
      <c r="Q31" s="8" t="s">
        <v>35</v>
      </c>
      <c r="R31" s="8" t="s">
        <v>35</v>
      </c>
      <c r="S31" s="8" t="s">
        <v>35</v>
      </c>
      <c r="T31" s="1470" t="s">
        <v>35</v>
      </c>
      <c r="U31" s="1470" t="s">
        <v>35</v>
      </c>
      <c r="V31" s="1470" t="s">
        <v>35</v>
      </c>
      <c r="W31" s="1470" t="s">
        <v>35</v>
      </c>
    </row>
    <row r="32" spans="1:32" ht="15.6">
      <c r="A32" s="2182"/>
      <c r="B32" s="45">
        <v>200</v>
      </c>
      <c r="C32" s="8">
        <v>0.66</v>
      </c>
      <c r="D32" s="6">
        <f>(($B32*'Equipment Results Matrix'!$R$267)+($C32*'Equipment Results Matrix'!$R$268)+'Equipment Results Matrix'!$R$270+'Equipment Results Matrix'!$T$274)*(1+'Equipment Results Matrix'!$T$276)</f>
        <v>98308.258845599994</v>
      </c>
      <c r="E32" s="44">
        <f>D32*Inflation!$D$3</f>
        <v>105995.33220354543</v>
      </c>
      <c r="F32" s="6" t="s">
        <v>35</v>
      </c>
      <c r="G32" s="6" t="s">
        <v>35</v>
      </c>
      <c r="H32" s="6">
        <f>(($B32*'Equipment Results Matrix'!$R$267)+(H$28*'Equipment Results Matrix'!$R$268)+'Equipment Results Matrix'!$R$270+'Equipment Results Matrix'!$T$274)*(1+'Equipment Results Matrix'!$T$276)</f>
        <v>103116.17766239999</v>
      </c>
      <c r="I32" s="6">
        <f>(($B32*'Equipment Results Matrix'!$R$267)+(I$28*'Equipment Results Matrix'!$R$268)+'Equipment Results Matrix'!$R$270+'Equipment Results Matrix'!$T$274)*(1+'Equipment Results Matrix'!$T$276)</f>
        <v>112732.015296</v>
      </c>
      <c r="J32" s="42" t="s">
        <v>35</v>
      </c>
      <c r="K32" s="42" t="s">
        <v>35</v>
      </c>
      <c r="L32" s="43">
        <f>H32*Inflation!$D$3</f>
        <v>111179.19933921286</v>
      </c>
      <c r="M32" s="43">
        <f>I32*Inflation!$D$3</f>
        <v>121546.93361054774</v>
      </c>
      <c r="N32" s="63"/>
      <c r="O32" s="192">
        <v>200</v>
      </c>
      <c r="P32" s="8" t="s">
        <v>35</v>
      </c>
      <c r="Q32" s="8" t="s">
        <v>35</v>
      </c>
      <c r="R32" s="9">
        <f>(H32-$D32)/$O32</f>
        <v>24.039594083999983</v>
      </c>
      <c r="S32" s="9">
        <f>(I32-$D32)/$O32</f>
        <v>72.118782252000017</v>
      </c>
      <c r="T32" s="1470" t="s">
        <v>35</v>
      </c>
      <c r="U32" s="1470" t="s">
        <v>35</v>
      </c>
      <c r="V32" s="1469">
        <f>(L32-$E32)/$O32</f>
        <v>25.919335678337156</v>
      </c>
      <c r="W32" s="1469">
        <f>(M32-$E32)/$O32</f>
        <v>77.758007035011545</v>
      </c>
    </row>
    <row r="33" spans="1:24" ht="15.6">
      <c r="A33" s="2182"/>
      <c r="B33" s="47">
        <v>400</v>
      </c>
      <c r="C33" s="8">
        <v>0.61</v>
      </c>
      <c r="D33" s="6">
        <f>(($B33*'Equipment Results Matrix'!$R$267)+($C33*'Equipment Results Matrix'!$R$268)+'Equipment Results Matrix'!$R$270+'Equipment Results Matrix'!$T$274)*(1+'Equipment Results Matrix'!$T$276)</f>
        <v>170638.25588759998</v>
      </c>
      <c r="E33" s="44">
        <f>D33*Inflation!$D$3</f>
        <v>183981.06966624677</v>
      </c>
      <c r="F33" s="6" t="s">
        <v>35</v>
      </c>
      <c r="G33" s="6" t="s">
        <v>35</v>
      </c>
      <c r="H33" s="6" t="s">
        <v>35</v>
      </c>
      <c r="I33" s="6">
        <f>(($B33*'Equipment Results Matrix'!$R$267)+(I$28*'Equipment Results Matrix'!$R$268)+'Equipment Results Matrix'!$R$270+'Equipment Results Matrix'!$T$274)*(1+'Equipment Results Matrix'!$T$276)</f>
        <v>173042.21529599998</v>
      </c>
      <c r="J33" s="42" t="s">
        <v>35</v>
      </c>
      <c r="K33" s="42" t="s">
        <v>35</v>
      </c>
      <c r="L33" s="42" t="s">
        <v>35</v>
      </c>
      <c r="M33" s="43">
        <f>I33*Inflation!$D$3</f>
        <v>186573.00323408048</v>
      </c>
      <c r="N33" s="63"/>
      <c r="O33" s="47">
        <v>400</v>
      </c>
      <c r="P33" s="8" t="s">
        <v>35</v>
      </c>
      <c r="Q33" s="8" t="s">
        <v>35</v>
      </c>
      <c r="R33" s="8" t="s">
        <v>35</v>
      </c>
      <c r="S33" s="9">
        <f>(I33-$D33)/$O33</f>
        <v>6.0098985209999958</v>
      </c>
      <c r="T33" s="1470" t="s">
        <v>35</v>
      </c>
      <c r="U33" s="1470" t="s">
        <v>35</v>
      </c>
      <c r="V33" s="1470" t="s">
        <v>35</v>
      </c>
      <c r="W33" s="1469">
        <f>(M33-$E33)/$O33</f>
        <v>6.4798339195842711</v>
      </c>
      <c r="X33" s="204"/>
    </row>
    <row r="34" spans="1:24" ht="15.6">
      <c r="B34" s="10"/>
      <c r="C34" s="10"/>
      <c r="D34" s="10"/>
      <c r="E34" s="10"/>
      <c r="F34" s="11"/>
      <c r="G34" s="11"/>
      <c r="H34" s="11"/>
      <c r="I34" s="11"/>
      <c r="J34" s="11"/>
      <c r="K34" s="11"/>
      <c r="L34" s="11"/>
      <c r="M34" s="11"/>
      <c r="N34" s="63"/>
      <c r="O34" s="27"/>
      <c r="P34" s="12"/>
      <c r="Q34" s="12"/>
      <c r="R34" s="12"/>
      <c r="S34" s="12"/>
    </row>
    <row r="35" spans="1:24">
      <c r="A35" s="2186" t="s">
        <v>49</v>
      </c>
      <c r="B35" s="2186"/>
      <c r="C35" s="2186"/>
      <c r="D35" s="2186"/>
      <c r="E35" s="2186"/>
      <c r="F35" s="2186"/>
      <c r="G35" s="2186"/>
      <c r="H35" s="2186"/>
      <c r="I35" s="2186"/>
      <c r="J35" s="2186"/>
      <c r="K35" s="2186"/>
      <c r="L35" s="2186"/>
      <c r="M35" s="2186"/>
      <c r="N35" s="2186"/>
      <c r="O35" s="2186"/>
      <c r="P35" s="2186"/>
      <c r="Q35" s="2186"/>
      <c r="R35" s="2186"/>
      <c r="S35" s="2186"/>
      <c r="T35" s="2186"/>
      <c r="U35" s="2186"/>
      <c r="V35" s="2186"/>
      <c r="W35" s="2186"/>
    </row>
    <row r="36" spans="1:24" ht="15.75" customHeight="1">
      <c r="A36" s="2181" t="s">
        <v>154</v>
      </c>
      <c r="B36" s="2180" t="s">
        <v>31</v>
      </c>
      <c r="C36" s="2180" t="s">
        <v>37</v>
      </c>
      <c r="D36" s="2180" t="s">
        <v>44</v>
      </c>
      <c r="E36" s="2180" t="s">
        <v>113</v>
      </c>
      <c r="F36" s="2180" t="s">
        <v>423</v>
      </c>
      <c r="G36" s="2180"/>
      <c r="H36" s="2180"/>
      <c r="I36" s="2180"/>
      <c r="J36" s="2180" t="s">
        <v>425</v>
      </c>
      <c r="K36" s="2180"/>
      <c r="L36" s="2180"/>
      <c r="M36" s="2180"/>
      <c r="N36" s="63"/>
      <c r="O36" s="2180" t="s">
        <v>31</v>
      </c>
      <c r="P36" s="2175" t="s">
        <v>1800</v>
      </c>
      <c r="Q36" s="2176"/>
      <c r="R36" s="2176"/>
      <c r="S36" s="2176"/>
      <c r="T36" s="2175" t="s">
        <v>1801</v>
      </c>
      <c r="U36" s="2176"/>
      <c r="V36" s="2176"/>
      <c r="W36" s="2176"/>
    </row>
    <row r="37" spans="1:24" ht="18.75" customHeight="1">
      <c r="A37" s="2182"/>
      <c r="B37" s="2160"/>
      <c r="C37" s="2160"/>
      <c r="D37" s="2160"/>
      <c r="E37" s="2160"/>
      <c r="F37" s="2160" t="s">
        <v>229</v>
      </c>
      <c r="G37" s="2160"/>
      <c r="H37" s="2160"/>
      <c r="I37" s="2160"/>
      <c r="J37" s="2160" t="s">
        <v>229</v>
      </c>
      <c r="K37" s="2160"/>
      <c r="L37" s="2160"/>
      <c r="M37" s="2160"/>
      <c r="N37" s="63"/>
      <c r="O37" s="2160"/>
      <c r="P37" s="2160" t="s">
        <v>229</v>
      </c>
      <c r="Q37" s="2160"/>
      <c r="R37" s="2160"/>
      <c r="S37" s="2160"/>
      <c r="T37" s="2160" t="s">
        <v>229</v>
      </c>
      <c r="U37" s="2160"/>
      <c r="V37" s="2160"/>
      <c r="W37" s="2160"/>
    </row>
    <row r="38" spans="1:24" ht="15.75" customHeight="1">
      <c r="A38" s="2182"/>
      <c r="B38" s="2160"/>
      <c r="C38" s="2160"/>
      <c r="D38" s="2160"/>
      <c r="E38" s="2160"/>
      <c r="F38" s="7">
        <v>0.72</v>
      </c>
      <c r="G38" s="7">
        <v>0.68</v>
      </c>
      <c r="H38" s="7">
        <v>0.64</v>
      </c>
      <c r="I38" s="7">
        <v>0.6</v>
      </c>
      <c r="J38" s="26">
        <v>0.72</v>
      </c>
      <c r="K38" s="26">
        <v>0.68</v>
      </c>
      <c r="L38" s="26">
        <v>0.64</v>
      </c>
      <c r="M38" s="26">
        <v>0.6</v>
      </c>
      <c r="N38" s="63"/>
      <c r="O38" s="2160"/>
      <c r="P38" s="7">
        <v>0.72</v>
      </c>
      <c r="Q38" s="7">
        <v>0.68</v>
      </c>
      <c r="R38" s="7">
        <v>0.64</v>
      </c>
      <c r="S38" s="7">
        <v>0.6</v>
      </c>
      <c r="T38" s="26">
        <v>0.72</v>
      </c>
      <c r="U38" s="26">
        <v>0.68</v>
      </c>
      <c r="V38" s="26">
        <v>0.64</v>
      </c>
      <c r="W38" s="26">
        <v>0.6</v>
      </c>
    </row>
    <row r="39" spans="1:24" ht="15.75" customHeight="1">
      <c r="A39" s="2182"/>
      <c r="B39" s="8">
        <v>50</v>
      </c>
      <c r="C39" s="8">
        <v>0.78</v>
      </c>
      <c r="D39" s="6">
        <f>(($B39*'Equipment Results Matrix'!$R$267)+($C39*'Equipment Results Matrix'!$R$268)+'Equipment Results Matrix'!$R$271+'Equipment Results Matrix'!$T$274)*(1+'Equipment Results Matrix'!$T$276)</f>
        <v>19049.260264799999</v>
      </c>
      <c r="E39" s="44">
        <f>D39*Inflation!$D$3</f>
        <v>20538.789860681623</v>
      </c>
      <c r="F39" s="6">
        <f>(($B39*'Equipment Results Matrix'!$R$267)+(F$38*'Equipment Results Matrix'!$R$268)+'Equipment Results Matrix'!$R$271+'Equipment Results Matrix'!$T$274)*(1+'Equipment Results Matrix'!$T$276)</f>
        <v>33473.016715200021</v>
      </c>
      <c r="G39" s="6">
        <f>(($B39*'Equipment Results Matrix'!$R$267)+(G$38*'Equipment Results Matrix'!$R$268)+'Equipment Results Matrix'!$R$271+'Equipment Results Matrix'!$T$274)*(1+'Equipment Results Matrix'!$T$276)</f>
        <v>43088.854348799985</v>
      </c>
      <c r="H39" s="6" t="s">
        <v>35</v>
      </c>
      <c r="I39" s="6" t="s">
        <v>35</v>
      </c>
      <c r="J39" s="43">
        <f>F39*Inflation!$D$3</f>
        <v>36090.391267683954</v>
      </c>
      <c r="K39" s="43">
        <f>G39*Inflation!$D$3</f>
        <v>46458.12553901878</v>
      </c>
      <c r="L39" s="42" t="s">
        <v>35</v>
      </c>
      <c r="M39" s="42" t="s">
        <v>35</v>
      </c>
      <c r="N39" s="63"/>
      <c r="O39" s="8">
        <v>50</v>
      </c>
      <c r="P39" s="9">
        <f>F39-$D39</f>
        <v>14423.756450400022</v>
      </c>
      <c r="Q39" s="9">
        <f>G39-$D39</f>
        <v>24039.594083999986</v>
      </c>
      <c r="R39" s="8" t="s">
        <v>35</v>
      </c>
      <c r="S39" s="8" t="s">
        <v>35</v>
      </c>
      <c r="T39" s="1469">
        <f>J39-$E39</f>
        <v>15551.60140700233</v>
      </c>
      <c r="U39" s="1469">
        <f>K39-$E39</f>
        <v>25919.335678337156</v>
      </c>
      <c r="V39" s="1470" t="s">
        <v>35</v>
      </c>
      <c r="W39" s="1470" t="s">
        <v>35</v>
      </c>
    </row>
    <row r="40" spans="1:24" ht="15.75" customHeight="1">
      <c r="A40" s="2182"/>
      <c r="B40" s="8">
        <v>100</v>
      </c>
      <c r="C40" s="8">
        <v>0.77500000000000002</v>
      </c>
      <c r="D40" s="6">
        <f>(($B40*'Equipment Results Matrix'!$R$267)+($C40*'Equipment Results Matrix'!$R$268)+'Equipment Results Matrix'!$R$271+'Equipment Results Matrix'!$T$274)*(1+'Equipment Results Matrix'!$T$276)</f>
        <v>35328.789969000012</v>
      </c>
      <c r="E40" s="44">
        <f>D40*Inflation!$D$3</f>
        <v>38091.27405048169</v>
      </c>
      <c r="F40" s="6">
        <f>(($B40*'Equipment Results Matrix'!$R$267)+(F$38*'Equipment Results Matrix'!$R$268)+'Equipment Results Matrix'!$R$271+'Equipment Results Matrix'!$T$274)*(1+'Equipment Results Matrix'!$T$276)</f>
        <v>48550.566715200002</v>
      </c>
      <c r="G40" s="6">
        <f>(($B40*'Equipment Results Matrix'!$R$267)+(G$38*'Equipment Results Matrix'!$R$268)+'Equipment Results Matrix'!$R$271+'Equipment Results Matrix'!$T$274)*(1+'Equipment Results Matrix'!$T$276)</f>
        <v>58166.404348799988</v>
      </c>
      <c r="H40" s="6" t="s">
        <v>35</v>
      </c>
      <c r="I40" s="6" t="s">
        <v>35</v>
      </c>
      <c r="J40" s="43">
        <f>F40*Inflation!$D$3</f>
        <v>52346.908673567123</v>
      </c>
      <c r="K40" s="43">
        <f>G40*Inflation!$D$3</f>
        <v>62714.642944901971</v>
      </c>
      <c r="L40" s="42" t="s">
        <v>35</v>
      </c>
      <c r="M40" s="42" t="s">
        <v>35</v>
      </c>
      <c r="N40" s="63"/>
      <c r="O40" s="8">
        <v>100</v>
      </c>
      <c r="P40" s="9">
        <f>F40-$D40</f>
        <v>13221.77674619999</v>
      </c>
      <c r="Q40" s="9">
        <f>G40-$D40</f>
        <v>22837.614379799976</v>
      </c>
      <c r="R40" s="8" t="s">
        <v>35</v>
      </c>
      <c r="S40" s="8" t="s">
        <v>35</v>
      </c>
      <c r="T40" s="1469">
        <f>J40-$E40</f>
        <v>14255.634623085432</v>
      </c>
      <c r="U40" s="1469">
        <f>K40-$E40</f>
        <v>24623.36889442028</v>
      </c>
      <c r="V40" s="1470" t="s">
        <v>35</v>
      </c>
      <c r="W40" s="1470" t="s">
        <v>35</v>
      </c>
    </row>
    <row r="41" spans="1:24" ht="15.6">
      <c r="A41" s="2182"/>
      <c r="B41" s="8">
        <v>150</v>
      </c>
      <c r="C41" s="8">
        <v>0.68</v>
      </c>
      <c r="D41" s="6">
        <f>(($B41*'Equipment Results Matrix'!$R$267)+($C41*'Equipment Results Matrix'!$R$268)+'Equipment Results Matrix'!$R$271+'Equipment Results Matrix'!$T$274)*(1+'Equipment Results Matrix'!$T$276)</f>
        <v>73243.954348799991</v>
      </c>
      <c r="E41" s="44">
        <f>D41*Inflation!$D$3</f>
        <v>78971.160350785169</v>
      </c>
      <c r="F41" s="8" t="s">
        <v>35</v>
      </c>
      <c r="G41" s="8" t="s">
        <v>35</v>
      </c>
      <c r="H41" s="6" t="s">
        <v>35</v>
      </c>
      <c r="I41" s="6" t="s">
        <v>35</v>
      </c>
      <c r="J41" s="42" t="s">
        <v>35</v>
      </c>
      <c r="K41" s="42" t="s">
        <v>35</v>
      </c>
      <c r="L41" s="42" t="s">
        <v>35</v>
      </c>
      <c r="M41" s="42" t="s">
        <v>35</v>
      </c>
      <c r="N41" s="63"/>
      <c r="O41" s="8">
        <v>150</v>
      </c>
      <c r="P41" s="8" t="s">
        <v>35</v>
      </c>
      <c r="Q41" s="8" t="s">
        <v>35</v>
      </c>
      <c r="R41" s="8" t="s">
        <v>35</v>
      </c>
      <c r="S41" s="8" t="s">
        <v>35</v>
      </c>
      <c r="T41" s="1470" t="s">
        <v>35</v>
      </c>
      <c r="U41" s="1470" t="s">
        <v>35</v>
      </c>
      <c r="V41" s="1470" t="s">
        <v>35</v>
      </c>
      <c r="W41" s="1470" t="s">
        <v>35</v>
      </c>
    </row>
    <row r="42" spans="1:24" ht="15.6">
      <c r="A42" s="2182"/>
      <c r="B42" s="8">
        <v>200</v>
      </c>
      <c r="C42" s="8">
        <v>0.68</v>
      </c>
      <c r="D42" s="6">
        <f>(($B42*'Equipment Results Matrix'!$R$267)+($C42*'Equipment Results Matrix'!$R$268)+'Equipment Results Matrix'!$R$271+'Equipment Results Matrix'!$T$274)*(1+'Equipment Results Matrix'!$T$276)</f>
        <v>88321.504348799979</v>
      </c>
      <c r="E42" s="44">
        <f>D42*Inflation!$D$3</f>
        <v>95227.677756668345</v>
      </c>
      <c r="F42" s="8" t="s">
        <v>35</v>
      </c>
      <c r="G42" s="8" t="s">
        <v>35</v>
      </c>
      <c r="H42" s="6">
        <f>(($B42*'Equipment Results Matrix'!$R$267)+(H$38*'Equipment Results Matrix'!$R$268)+'Equipment Results Matrix'!$R$271+'Equipment Results Matrix'!$T$274)*(1+'Equipment Results Matrix'!$T$276)</f>
        <v>97937.341982399987</v>
      </c>
      <c r="I42" s="6">
        <f>(($B42*'Equipment Results Matrix'!$R$267)+(I$38*'Equipment Results Matrix'!$R$268)+'Equipment Results Matrix'!$R$271+'Equipment Results Matrix'!$T$274)*(1+'Equipment Results Matrix'!$T$276)</f>
        <v>107553.17961599999</v>
      </c>
      <c r="J42" s="42" t="s">
        <v>35</v>
      </c>
      <c r="K42" s="42" t="s">
        <v>35</v>
      </c>
      <c r="L42" s="43">
        <f>H42*Inflation!$D$3</f>
        <v>105595.41202800322</v>
      </c>
      <c r="M42" s="43">
        <f>I42*Inflation!$D$3</f>
        <v>115963.1462993381</v>
      </c>
      <c r="N42" s="63"/>
      <c r="O42" s="8">
        <v>200</v>
      </c>
      <c r="P42" s="8" t="s">
        <v>35</v>
      </c>
      <c r="Q42" s="8" t="s">
        <v>35</v>
      </c>
      <c r="R42" s="9">
        <f>H42-$D42</f>
        <v>9615.8376336000074</v>
      </c>
      <c r="S42" s="9">
        <f>I42-$D42</f>
        <v>19231.675267200015</v>
      </c>
      <c r="T42" s="1470" t="s">
        <v>35</v>
      </c>
      <c r="U42" s="1470" t="s">
        <v>35</v>
      </c>
      <c r="V42" s="1469">
        <f>L42-$E42</f>
        <v>10367.734271334877</v>
      </c>
      <c r="W42" s="1469">
        <f>M42-$E42</f>
        <v>20735.468542669754</v>
      </c>
    </row>
    <row r="43" spans="1:24" ht="15.6">
      <c r="A43" s="2182"/>
      <c r="B43" s="47">
        <v>400</v>
      </c>
      <c r="C43" s="47">
        <v>0.62</v>
      </c>
      <c r="D43" s="6">
        <f>(($B43*'Equipment Results Matrix'!$R$267)+($C43*'Equipment Results Matrix'!$R$268)+'Equipment Results Matrix'!$R$271+'Equipment Results Matrix'!$T$274)*(1+'Equipment Results Matrix'!$T$276)</f>
        <v>163055.46079919999</v>
      </c>
      <c r="E43" s="44">
        <f>D43*Inflation!$D$3</f>
        <v>175805.34878720343</v>
      </c>
      <c r="F43" s="8" t="s">
        <v>35</v>
      </c>
      <c r="G43" s="8" t="s">
        <v>35</v>
      </c>
      <c r="H43" s="8" t="s">
        <v>35</v>
      </c>
      <c r="I43" s="6">
        <f>(($B43*'Equipment Results Matrix'!$R$267)+(I$38*'Equipment Results Matrix'!$R$268)+'Equipment Results Matrix'!$R$271+'Equipment Results Matrix'!$T$274)*(1+'Equipment Results Matrix'!$T$276)</f>
        <v>167863.37961599999</v>
      </c>
      <c r="J43" s="42" t="s">
        <v>35</v>
      </c>
      <c r="K43" s="42" t="s">
        <v>35</v>
      </c>
      <c r="L43" s="42" t="s">
        <v>35</v>
      </c>
      <c r="M43" s="43">
        <f>I43*Inflation!$D$3</f>
        <v>180989.21592287085</v>
      </c>
      <c r="N43" s="63"/>
      <c r="O43" s="47">
        <v>400</v>
      </c>
      <c r="P43" s="8" t="s">
        <v>35</v>
      </c>
      <c r="Q43" s="8" t="s">
        <v>35</v>
      </c>
      <c r="R43" s="8" t="s">
        <v>35</v>
      </c>
      <c r="S43" s="9">
        <f>I43-$D43</f>
        <v>4807.9188167999964</v>
      </c>
      <c r="T43" s="1470" t="s">
        <v>35</v>
      </c>
      <c r="U43" s="1470" t="s">
        <v>35</v>
      </c>
      <c r="V43" s="1470" t="s">
        <v>35</v>
      </c>
      <c r="W43" s="1469">
        <f>M43-$E43</f>
        <v>5183.8671356674167</v>
      </c>
    </row>
    <row r="44" spans="1:24">
      <c r="A44" s="2182"/>
      <c r="B44" s="2191" t="s">
        <v>153</v>
      </c>
      <c r="C44" s="2192"/>
      <c r="D44" s="2192"/>
      <c r="E44" s="2192"/>
      <c r="F44" s="2192"/>
      <c r="G44" s="2192"/>
      <c r="H44" s="2192"/>
      <c r="I44" s="2192"/>
      <c r="J44" s="2192"/>
      <c r="K44" s="2192"/>
      <c r="L44" s="2192"/>
      <c r="M44" s="2192"/>
      <c r="N44" s="2192"/>
      <c r="O44" s="2192"/>
      <c r="P44" s="2192"/>
      <c r="Q44" s="2192"/>
      <c r="R44" s="2192"/>
      <c r="S44" s="2192"/>
      <c r="T44" s="2192"/>
      <c r="U44" s="2192"/>
      <c r="V44" s="2192"/>
      <c r="W44" s="2192"/>
    </row>
    <row r="45" spans="1:24" ht="15.75" customHeight="1">
      <c r="A45" s="2182"/>
      <c r="B45" s="2160" t="s">
        <v>31</v>
      </c>
      <c r="C45" s="2160" t="s">
        <v>37</v>
      </c>
      <c r="D45" s="2160" t="s">
        <v>44</v>
      </c>
      <c r="E45" s="2160" t="s">
        <v>113</v>
      </c>
      <c r="F45" s="2160" t="s">
        <v>423</v>
      </c>
      <c r="G45" s="2160"/>
      <c r="H45" s="2160"/>
      <c r="I45" s="2160"/>
      <c r="J45" s="2160" t="s">
        <v>425</v>
      </c>
      <c r="K45" s="2160"/>
      <c r="L45" s="2160"/>
      <c r="M45" s="2160"/>
      <c r="N45" s="63"/>
      <c r="O45" s="2160" t="s">
        <v>31</v>
      </c>
      <c r="P45" s="2177" t="s">
        <v>1800</v>
      </c>
      <c r="Q45" s="2178"/>
      <c r="R45" s="2178"/>
      <c r="S45" s="2178"/>
      <c r="T45" s="2177" t="s">
        <v>1801</v>
      </c>
      <c r="U45" s="2178"/>
      <c r="V45" s="2178"/>
      <c r="W45" s="2178"/>
    </row>
    <row r="46" spans="1:24" ht="18.75" customHeight="1">
      <c r="A46" s="2182"/>
      <c r="B46" s="2160"/>
      <c r="C46" s="2160"/>
      <c r="D46" s="2160"/>
      <c r="E46" s="2160"/>
      <c r="F46" s="2183" t="s">
        <v>229</v>
      </c>
      <c r="G46" s="2184"/>
      <c r="H46" s="2184"/>
      <c r="I46" s="2185"/>
      <c r="J46" s="2160" t="s">
        <v>229</v>
      </c>
      <c r="K46" s="2160"/>
      <c r="L46" s="2160"/>
      <c r="M46" s="2160"/>
      <c r="N46" s="63"/>
      <c r="O46" s="2160"/>
      <c r="P46" s="2160" t="s">
        <v>229</v>
      </c>
      <c r="Q46" s="2160"/>
      <c r="R46" s="2160"/>
      <c r="S46" s="2160"/>
      <c r="T46" s="2160" t="s">
        <v>229</v>
      </c>
      <c r="U46" s="2160"/>
      <c r="V46" s="2160"/>
      <c r="W46" s="2160"/>
    </row>
    <row r="47" spans="1:24" ht="15.75" customHeight="1">
      <c r="A47" s="2182"/>
      <c r="B47" s="2160"/>
      <c r="C47" s="2160"/>
      <c r="D47" s="2160"/>
      <c r="E47" s="2160"/>
      <c r="F47" s="7">
        <v>0.72</v>
      </c>
      <c r="G47" s="7">
        <v>0.68</v>
      </c>
      <c r="H47" s="7">
        <v>0.64</v>
      </c>
      <c r="I47" s="7">
        <v>0.6</v>
      </c>
      <c r="J47" s="26">
        <v>0.72</v>
      </c>
      <c r="K47" s="26">
        <v>0.68</v>
      </c>
      <c r="L47" s="26">
        <v>0.64</v>
      </c>
      <c r="M47" s="26">
        <v>0.6</v>
      </c>
      <c r="N47" s="63"/>
      <c r="O47" s="2160"/>
      <c r="P47" s="7">
        <v>0.72</v>
      </c>
      <c r="Q47" s="7">
        <v>0.68</v>
      </c>
      <c r="R47" s="7">
        <v>0.64</v>
      </c>
      <c r="S47" s="7">
        <v>0.6</v>
      </c>
      <c r="T47" s="26">
        <v>0.72</v>
      </c>
      <c r="U47" s="26">
        <v>0.68</v>
      </c>
      <c r="V47" s="26">
        <v>0.64</v>
      </c>
      <c r="W47" s="26">
        <v>0.6</v>
      </c>
    </row>
    <row r="48" spans="1:24" ht="15.75" customHeight="1">
      <c r="A48" s="2182"/>
      <c r="B48" s="8">
        <v>50</v>
      </c>
      <c r="C48" s="8">
        <v>0.75</v>
      </c>
      <c r="D48" s="6">
        <f>(($B48*'Equipment Results Matrix'!$R$267)+($C48*'Equipment Results Matrix'!$R$268)+'Equipment Results Matrix'!$R$271+'Equipment Results Matrix'!$T$274)*(1+'Equipment Results Matrix'!$T$276)</f>
        <v>26261.138489999994</v>
      </c>
      <c r="E48" s="44">
        <f>D48*Inflation!$D$3</f>
        <v>28314.59056418277</v>
      </c>
      <c r="F48" s="6">
        <f>(($B48*'Equipment Results Matrix'!$R$267)+(F$47*'Equipment Results Matrix'!$R$268)+'Equipment Results Matrix'!$R$271+'Equipment Results Matrix'!$T$274)*(1+'Equipment Results Matrix'!$T$276)</f>
        <v>33473.016715200021</v>
      </c>
      <c r="G48" s="6">
        <f>(($B48*'Equipment Results Matrix'!$R$267)+(G$47*'Equipment Results Matrix'!$R$268)+'Equipment Results Matrix'!$R$271+'Equipment Results Matrix'!$T$274)*(1+'Equipment Results Matrix'!$T$276)</f>
        <v>43088.854348799985</v>
      </c>
      <c r="H48" s="6" t="s">
        <v>35</v>
      </c>
      <c r="I48" s="6" t="s">
        <v>35</v>
      </c>
      <c r="J48" s="43">
        <f>F48*Inflation!$D$3</f>
        <v>36090.391267683954</v>
      </c>
      <c r="K48" s="43">
        <f>G48*Inflation!$D$3</f>
        <v>46458.12553901878</v>
      </c>
      <c r="L48" s="42" t="s">
        <v>35</v>
      </c>
      <c r="M48" s="42" t="s">
        <v>35</v>
      </c>
      <c r="N48" s="63"/>
      <c r="O48" s="8">
        <v>50</v>
      </c>
      <c r="P48" s="3">
        <f>F48-$D48</f>
        <v>7211.8782252000274</v>
      </c>
      <c r="Q48" s="3">
        <f>G48-$D48</f>
        <v>16827.715858799991</v>
      </c>
      <c r="R48" s="3" t="s">
        <v>35</v>
      </c>
      <c r="S48" s="3" t="s">
        <v>35</v>
      </c>
      <c r="T48" s="1469">
        <f>J48-$E48</f>
        <v>7775.8007035011833</v>
      </c>
      <c r="U48" s="1469">
        <f>K48-$E48</f>
        <v>18143.534974836009</v>
      </c>
      <c r="V48" s="1470" t="s">
        <v>35</v>
      </c>
      <c r="W48" s="1470" t="s">
        <v>35</v>
      </c>
    </row>
    <row r="49" spans="1:23" ht="15.75" customHeight="1">
      <c r="A49" s="2182"/>
      <c r="B49" s="8">
        <v>100</v>
      </c>
      <c r="C49" s="8">
        <v>0.72</v>
      </c>
      <c r="D49" s="6">
        <f>(($B49*'Equipment Results Matrix'!$R$267)+($C49*'Equipment Results Matrix'!$R$268)+'Equipment Results Matrix'!$R$271+'Equipment Results Matrix'!$T$274)*(1+'Equipment Results Matrix'!$T$276)</f>
        <v>48550.566715200002</v>
      </c>
      <c r="E49" s="44">
        <f>D49*Inflation!$D$3</f>
        <v>52346.908673567123</v>
      </c>
      <c r="F49" s="6">
        <f>(($B49*'Equipment Results Matrix'!$R$267)+(F$47*'Equipment Results Matrix'!$R$268)+'Equipment Results Matrix'!$R$271+'Equipment Results Matrix'!$T$274)*(1+'Equipment Results Matrix'!$T$276)</f>
        <v>48550.566715200002</v>
      </c>
      <c r="G49" s="6">
        <f>(($B49*'Equipment Results Matrix'!$R$267)+(G$47*'Equipment Results Matrix'!$R$268)+'Equipment Results Matrix'!$R$271+'Equipment Results Matrix'!$T$274)*(1+'Equipment Results Matrix'!$T$276)</f>
        <v>58166.404348799988</v>
      </c>
      <c r="H49" s="6" t="s">
        <v>35</v>
      </c>
      <c r="I49" s="6" t="s">
        <v>35</v>
      </c>
      <c r="J49" s="43">
        <f>F49*Inflation!$D$3</f>
        <v>52346.908673567123</v>
      </c>
      <c r="K49" s="43">
        <f>G49*Inflation!$D$3</f>
        <v>62714.642944901971</v>
      </c>
      <c r="L49" s="42" t="s">
        <v>35</v>
      </c>
      <c r="M49" s="42" t="s">
        <v>35</v>
      </c>
      <c r="N49" s="63"/>
      <c r="O49" s="8">
        <v>100</v>
      </c>
      <c r="P49" s="3">
        <f>F49-$D49</f>
        <v>0</v>
      </c>
      <c r="Q49" s="3">
        <f>G49-$D49</f>
        <v>9615.8376335999856</v>
      </c>
      <c r="R49" s="3" t="s">
        <v>35</v>
      </c>
      <c r="S49" s="3" t="s">
        <v>35</v>
      </c>
      <c r="T49" s="1469">
        <f>J49-$E49</f>
        <v>0</v>
      </c>
      <c r="U49" s="1469">
        <f>K49-$E49</f>
        <v>10367.734271334848</v>
      </c>
      <c r="V49" s="1470" t="s">
        <v>35</v>
      </c>
      <c r="W49" s="1470" t="s">
        <v>35</v>
      </c>
    </row>
    <row r="50" spans="1:23" ht="15.6">
      <c r="A50" s="2182"/>
      <c r="B50" s="8">
        <v>150</v>
      </c>
      <c r="C50" s="8">
        <v>0.66</v>
      </c>
      <c r="D50" s="6">
        <f>(($B50*'Equipment Results Matrix'!$R$267)+($C50*'Equipment Results Matrix'!$R$268)+'Equipment Results Matrix'!$R$271+'Equipment Results Matrix'!$T$274)*(1+'Equipment Results Matrix'!$T$276)</f>
        <v>78051.873165599987</v>
      </c>
      <c r="E50" s="44">
        <f>D50*Inflation!$D$3</f>
        <v>84155.0274864526</v>
      </c>
      <c r="F50" s="6" t="s">
        <v>35</v>
      </c>
      <c r="G50" s="6" t="s">
        <v>35</v>
      </c>
      <c r="H50" s="6" t="s">
        <v>35</v>
      </c>
      <c r="I50" s="6" t="s">
        <v>35</v>
      </c>
      <c r="J50" s="42" t="s">
        <v>35</v>
      </c>
      <c r="K50" s="42" t="s">
        <v>35</v>
      </c>
      <c r="L50" s="42" t="s">
        <v>35</v>
      </c>
      <c r="M50" s="42" t="s">
        <v>35</v>
      </c>
      <c r="N50" s="63"/>
      <c r="O50" s="8">
        <v>150</v>
      </c>
      <c r="P50" s="3" t="s">
        <v>35</v>
      </c>
      <c r="Q50" s="3" t="s">
        <v>35</v>
      </c>
      <c r="R50" s="3" t="s">
        <v>35</v>
      </c>
      <c r="S50" s="3" t="s">
        <v>35</v>
      </c>
      <c r="T50" s="1470" t="s">
        <v>35</v>
      </c>
      <c r="U50" s="1470" t="s">
        <v>35</v>
      </c>
      <c r="V50" s="1470" t="s">
        <v>35</v>
      </c>
      <c r="W50" s="1470" t="s">
        <v>35</v>
      </c>
    </row>
    <row r="51" spans="1:23" ht="15.6">
      <c r="A51" s="2182"/>
      <c r="B51" s="8">
        <v>200</v>
      </c>
      <c r="C51" s="8">
        <v>0.66</v>
      </c>
      <c r="D51" s="6">
        <f>(($B51*'Equipment Results Matrix'!$R$267)+($C51*'Equipment Results Matrix'!$R$268)+'Equipment Results Matrix'!$R$271+'Equipment Results Matrix'!$T$274)*(1+'Equipment Results Matrix'!$T$276)</f>
        <v>93129.42316559999</v>
      </c>
      <c r="E51" s="44">
        <f>D51*Inflation!$D$3</f>
        <v>100411.54489233579</v>
      </c>
      <c r="F51" s="6" t="s">
        <v>35</v>
      </c>
      <c r="G51" s="6" t="s">
        <v>35</v>
      </c>
      <c r="H51" s="6">
        <f>(($B51*'Equipment Results Matrix'!$R$267)+(H$47*'Equipment Results Matrix'!$R$268)+'Equipment Results Matrix'!$R$271+'Equipment Results Matrix'!$T$274)*(1+'Equipment Results Matrix'!$T$276)</f>
        <v>97937.341982399987</v>
      </c>
      <c r="I51" s="6">
        <f>(($B51*'Equipment Results Matrix'!$R$267)+(I$47*'Equipment Results Matrix'!$R$268)+'Equipment Results Matrix'!$R$271+'Equipment Results Matrix'!$T$274)*(1+'Equipment Results Matrix'!$T$276)</f>
        <v>107553.17961599999</v>
      </c>
      <c r="J51" s="42" t="s">
        <v>35</v>
      </c>
      <c r="K51" s="42" t="s">
        <v>35</v>
      </c>
      <c r="L51" s="43">
        <f>H51*Inflation!$D$3</f>
        <v>105595.41202800322</v>
      </c>
      <c r="M51" s="43">
        <f>I51*Inflation!$D$3</f>
        <v>115963.1462993381</v>
      </c>
      <c r="N51" s="63"/>
      <c r="O51" s="8">
        <v>200</v>
      </c>
      <c r="P51" s="3" t="s">
        <v>35</v>
      </c>
      <c r="Q51" s="3" t="s">
        <v>35</v>
      </c>
      <c r="R51" s="3">
        <f>H51-$D51</f>
        <v>4807.9188167999964</v>
      </c>
      <c r="S51" s="3">
        <f>I51-$D51</f>
        <v>14423.756450400004</v>
      </c>
      <c r="T51" s="1470" t="s">
        <v>35</v>
      </c>
      <c r="U51" s="1470" t="s">
        <v>35</v>
      </c>
      <c r="V51" s="1469">
        <f>L51-$E51</f>
        <v>5183.8671356674313</v>
      </c>
      <c r="W51" s="1469">
        <f>M51-$E51</f>
        <v>15551.601407002308</v>
      </c>
    </row>
    <row r="52" spans="1:23" ht="15.6">
      <c r="A52" s="2182"/>
      <c r="B52" s="8">
        <v>400</v>
      </c>
      <c r="C52" s="8">
        <v>0.61</v>
      </c>
      <c r="D52" s="6">
        <f>(($B52*'Equipment Results Matrix'!$R$267)+($C52*'Equipment Results Matrix'!$R$268)+'Equipment Results Matrix'!$R$271+'Equipment Results Matrix'!$T$274)*(1+'Equipment Results Matrix'!$T$276)</f>
        <v>165459.42020760002</v>
      </c>
      <c r="E52" s="44">
        <f>D52*Inflation!$D$3</f>
        <v>178397.28235503717</v>
      </c>
      <c r="F52" s="6" t="s">
        <v>35</v>
      </c>
      <c r="G52" s="6" t="s">
        <v>35</v>
      </c>
      <c r="H52" s="6" t="s">
        <v>35</v>
      </c>
      <c r="I52" s="6">
        <f>(($B52*'Equipment Results Matrix'!$R$267)+(I$47*'Equipment Results Matrix'!$R$268)+'Equipment Results Matrix'!$R$271+'Equipment Results Matrix'!$T$274)*(1+'Equipment Results Matrix'!$T$276)</f>
        <v>167863.37961599999</v>
      </c>
      <c r="J52" s="42" t="s">
        <v>35</v>
      </c>
      <c r="K52" s="42" t="s">
        <v>35</v>
      </c>
      <c r="L52" s="42" t="s">
        <v>35</v>
      </c>
      <c r="M52" s="43">
        <f>I52*Inflation!$D$3</f>
        <v>180989.21592287085</v>
      </c>
      <c r="N52" s="63"/>
      <c r="O52" s="47">
        <v>400</v>
      </c>
      <c r="P52" s="3" t="s">
        <v>35</v>
      </c>
      <c r="Q52" s="3" t="s">
        <v>35</v>
      </c>
      <c r="R52" s="3" t="s">
        <v>35</v>
      </c>
      <c r="S52" s="3">
        <f>I52-$D52</f>
        <v>2403.9594083999691</v>
      </c>
      <c r="T52" s="1470" t="s">
        <v>35</v>
      </c>
      <c r="U52" s="1470" t="s">
        <v>35</v>
      </c>
      <c r="V52" s="1470" t="s">
        <v>35</v>
      </c>
      <c r="W52" s="1469">
        <f>M52-$E52</f>
        <v>2591.9335678336793</v>
      </c>
    </row>
    <row r="53" spans="1:23" ht="16.2">
      <c r="B53" s="5"/>
      <c r="N53" s="63"/>
      <c r="O53" s="27"/>
    </row>
    <row r="54" spans="1:23">
      <c r="A54" s="2186" t="s">
        <v>45</v>
      </c>
      <c r="B54" s="2186"/>
      <c r="C54" s="2186"/>
      <c r="D54" s="2186"/>
      <c r="E54" s="2186"/>
      <c r="F54" s="2186"/>
      <c r="G54" s="2186"/>
      <c r="H54" s="2186"/>
      <c r="I54" s="2186"/>
      <c r="J54" s="2186"/>
      <c r="K54" s="2186"/>
      <c r="L54" s="2186"/>
      <c r="M54" s="2186"/>
      <c r="N54" s="2186"/>
      <c r="O54" s="2186"/>
      <c r="P54" s="2186"/>
      <c r="Q54" s="2186"/>
      <c r="R54" s="2186"/>
      <c r="S54" s="2186"/>
      <c r="T54" s="2186"/>
      <c r="U54" s="2186"/>
      <c r="V54" s="2186"/>
      <c r="W54" s="2186"/>
    </row>
    <row r="55" spans="1:23" ht="15.75" customHeight="1">
      <c r="A55" s="2181" t="s">
        <v>156</v>
      </c>
      <c r="B55" s="2180" t="s">
        <v>31</v>
      </c>
      <c r="C55" s="2180" t="s">
        <v>37</v>
      </c>
      <c r="D55" s="2180" t="s">
        <v>44</v>
      </c>
      <c r="E55" s="2180" t="s">
        <v>113</v>
      </c>
      <c r="F55" s="2180" t="s">
        <v>423</v>
      </c>
      <c r="G55" s="2180"/>
      <c r="H55" s="2180"/>
      <c r="I55" s="2180"/>
      <c r="J55" s="2180" t="s">
        <v>425</v>
      </c>
      <c r="K55" s="2180"/>
      <c r="L55" s="2180"/>
      <c r="M55" s="2180"/>
      <c r="N55" s="63"/>
      <c r="O55" s="2180" t="s">
        <v>31</v>
      </c>
      <c r="P55" s="2175" t="s">
        <v>1800</v>
      </c>
      <c r="Q55" s="2176"/>
      <c r="R55" s="2176"/>
      <c r="S55" s="2176"/>
      <c r="T55" s="2175" t="s">
        <v>1801</v>
      </c>
      <c r="U55" s="2176"/>
      <c r="V55" s="2176"/>
      <c r="W55" s="2176"/>
    </row>
    <row r="56" spans="1:23" ht="15.75" customHeight="1">
      <c r="A56" s="2182"/>
      <c r="B56" s="2160"/>
      <c r="C56" s="2160"/>
      <c r="D56" s="2160"/>
      <c r="E56" s="2160"/>
      <c r="F56" s="2160" t="s">
        <v>229</v>
      </c>
      <c r="G56" s="2160"/>
      <c r="H56" s="2160"/>
      <c r="I56" s="2160"/>
      <c r="J56" s="2160" t="s">
        <v>229</v>
      </c>
      <c r="K56" s="2160"/>
      <c r="L56" s="2160"/>
      <c r="M56" s="2160"/>
      <c r="N56" s="63"/>
      <c r="O56" s="2160"/>
      <c r="P56" s="2177" t="s">
        <v>229</v>
      </c>
      <c r="Q56" s="2178"/>
      <c r="R56" s="2178"/>
      <c r="S56" s="2179"/>
      <c r="T56" s="2177" t="s">
        <v>229</v>
      </c>
      <c r="U56" s="2178"/>
      <c r="V56" s="2178"/>
      <c r="W56" s="2179"/>
    </row>
    <row r="57" spans="1:23" ht="15.75" customHeight="1">
      <c r="A57" s="2182"/>
      <c r="B57" s="2160"/>
      <c r="C57" s="2160"/>
      <c r="D57" s="2160"/>
      <c r="E57" s="2160"/>
      <c r="F57" s="26" t="s">
        <v>22</v>
      </c>
      <c r="G57" s="26">
        <v>0.6</v>
      </c>
      <c r="H57" s="26">
        <v>0.57999999999999996</v>
      </c>
      <c r="I57" s="49">
        <v>0.54</v>
      </c>
      <c r="J57" s="26" t="s">
        <v>22</v>
      </c>
      <c r="K57" s="26">
        <v>0.6</v>
      </c>
      <c r="L57" s="26">
        <v>0.57999999999999996</v>
      </c>
      <c r="M57" s="49">
        <v>0.54</v>
      </c>
      <c r="N57" s="63"/>
      <c r="O57" s="2160"/>
      <c r="P57" s="26" t="s">
        <v>22</v>
      </c>
      <c r="Q57" s="26">
        <v>0.6</v>
      </c>
      <c r="R57" s="26">
        <v>0.57999999999999996</v>
      </c>
      <c r="S57" s="49">
        <v>0.54</v>
      </c>
      <c r="T57" s="26" t="s">
        <v>22</v>
      </c>
      <c r="U57" s="26">
        <v>0.6</v>
      </c>
      <c r="V57" s="26">
        <v>0.57999999999999996</v>
      </c>
      <c r="W57" s="49">
        <v>0.54</v>
      </c>
    </row>
    <row r="58" spans="1:23" ht="15.6">
      <c r="A58" s="2182"/>
      <c r="B58" s="8">
        <v>100</v>
      </c>
      <c r="C58" s="8">
        <v>0.63400000000000001</v>
      </c>
      <c r="D58" s="6">
        <f>(($B58*'Equipment Results Matrix'!$R$267)+($C58*'Equipment Results Matrix'!$R$268)+'Equipment Results Matrix'!$R$269+'Equipment Results Matrix'!$T$274)*(1+'Equipment Results Matrix'!$T$276)</f>
        <v>52207.889227439977</v>
      </c>
      <c r="E58" s="44">
        <f>D58*Inflation!$D$3</f>
        <v>56290.210276225218</v>
      </c>
      <c r="F58" s="8" t="s">
        <v>35</v>
      </c>
      <c r="G58" s="6">
        <f>(($B58*'Equipment Results Matrix'!$R$267)+(G$57*'Equipment Results Matrix'!$R$268)+'Equipment Results Matrix'!$R$269+'Equipment Results Matrix'!$T$274)*(1+'Equipment Results Matrix'!$T$276)</f>
        <v>60381.351215999995</v>
      </c>
      <c r="H58" s="6">
        <f>(($B58*'Equipment Results Matrix'!$R$267)+(H$57*'Equipment Results Matrix'!$R$268)+'Equipment Results Matrix'!$R$269+'Equipment Results Matrix'!$T$274)*(1+'Equipment Results Matrix'!$T$276)</f>
        <v>65189.270032799985</v>
      </c>
      <c r="I58" s="6">
        <f>(($B58*'Equipment Results Matrix'!$R$267)+(I$57*'Equipment Results Matrix'!$R$268)+'Equipment Results Matrix'!$R$269+'Equipment Results Matrix'!$T$274)*(1+'Equipment Results Matrix'!$T$276)</f>
        <v>74805.10766639997</v>
      </c>
      <c r="J58" s="42" t="s">
        <v>35</v>
      </c>
      <c r="K58" s="43">
        <f>G58*Inflation!$D$3</f>
        <v>65102.784406859872</v>
      </c>
      <c r="L58" s="43">
        <f>H58*Inflation!$D$3</f>
        <v>70286.651542527296</v>
      </c>
      <c r="M58" s="43">
        <f>I58*Inflation!$D$3</f>
        <v>80654.385813862144</v>
      </c>
      <c r="N58" s="63"/>
      <c r="O58" s="8">
        <v>100</v>
      </c>
      <c r="P58" s="8" t="s">
        <v>35</v>
      </c>
      <c r="Q58" s="3">
        <f>(G58-$D58)/$O58</f>
        <v>81.734619885600182</v>
      </c>
      <c r="R58" s="3">
        <f t="shared" ref="R58:S58" si="20">(H58-$D58)/$O58</f>
        <v>129.81380805360007</v>
      </c>
      <c r="S58" s="3">
        <f t="shared" si="20"/>
        <v>225.97218438959993</v>
      </c>
      <c r="T58" s="42" t="s">
        <v>35</v>
      </c>
      <c r="U58" s="1469">
        <f>(K58-$E58)/$O58</f>
        <v>88.125741306346541</v>
      </c>
      <c r="V58" s="1469">
        <f t="shared" ref="V58:W58" si="21">(L58-$E58)/$O58</f>
        <v>139.96441266302077</v>
      </c>
      <c r="W58" s="1469">
        <f t="shared" si="21"/>
        <v>243.64175537636925</v>
      </c>
    </row>
    <row r="59" spans="1:23" ht="15.6">
      <c r="A59" s="2182"/>
      <c r="B59" s="8">
        <v>150</v>
      </c>
      <c r="C59" s="8">
        <v>0.63400000000000001</v>
      </c>
      <c r="D59" s="6">
        <f>(($B59*'Equipment Results Matrix'!$R$267)+($C59*'Equipment Results Matrix'!$R$268)+'Equipment Results Matrix'!$R$269+'Equipment Results Matrix'!$T$274)*(1+'Equipment Results Matrix'!$T$276)</f>
        <v>67285.439227439972</v>
      </c>
      <c r="E59" s="44">
        <f>D59*Inflation!$D$3</f>
        <v>72546.727682108409</v>
      </c>
      <c r="F59" s="8" t="s">
        <v>35</v>
      </c>
      <c r="G59" s="6">
        <f>(($B59*'Equipment Results Matrix'!$R$267)+(G$57*'Equipment Results Matrix'!$R$268)+'Equipment Results Matrix'!$R$269+'Equipment Results Matrix'!$T$274)*(1+'Equipment Results Matrix'!$T$276)</f>
        <v>75458.901215999998</v>
      </c>
      <c r="H59" s="6">
        <f>(($B59*'Equipment Results Matrix'!$R$267)+(H$57*'Equipment Results Matrix'!$R$268)+'Equipment Results Matrix'!$R$269+'Equipment Results Matrix'!$T$274)*(1+'Equipment Results Matrix'!$T$276)</f>
        <v>80266.82003279998</v>
      </c>
      <c r="I59" s="6">
        <f>(($B59*'Equipment Results Matrix'!$R$267)+(I$57*'Equipment Results Matrix'!$R$268)+'Equipment Results Matrix'!$R$269+'Equipment Results Matrix'!$T$274)*(1+'Equipment Results Matrix'!$T$276)</f>
        <v>89882.657666399973</v>
      </c>
      <c r="J59" s="42" t="s">
        <v>35</v>
      </c>
      <c r="K59" s="43">
        <f>G59*Inflation!$D$3</f>
        <v>81359.30181274307</v>
      </c>
      <c r="L59" s="43">
        <f>H59*Inflation!$D$3</f>
        <v>86543.168948410486</v>
      </c>
      <c r="M59" s="43">
        <f>I59*Inflation!$D$3</f>
        <v>96910.903219745349</v>
      </c>
      <c r="N59" s="63"/>
      <c r="O59" s="8">
        <v>150</v>
      </c>
      <c r="P59" s="8" t="s">
        <v>35</v>
      </c>
      <c r="Q59" s="3">
        <f t="shared" ref="Q59:Q60" si="22">(G59-$D59)/$O59</f>
        <v>54.489746590400173</v>
      </c>
      <c r="R59" s="3">
        <f t="shared" ref="R59:R60" si="23">(H59-$D59)/$O59</f>
        <v>86.542538702400051</v>
      </c>
      <c r="S59" s="3">
        <f t="shared" ref="S59:S62" si="24">(I59-$D59)/$O59</f>
        <v>150.64812292639999</v>
      </c>
      <c r="T59" s="42" t="s">
        <v>35</v>
      </c>
      <c r="U59" s="1469">
        <f t="shared" ref="U59" si="25">(K59-$E59)/$O59</f>
        <v>58.750494204231074</v>
      </c>
      <c r="V59" s="1469">
        <f t="shared" ref="V59:V60" si="26">(L59-$E59)/$O59</f>
        <v>93.309608442013854</v>
      </c>
      <c r="W59" s="1469">
        <f t="shared" ref="W59:W62" si="27">(M59-$E59)/$O59</f>
        <v>162.42783691757961</v>
      </c>
    </row>
    <row r="60" spans="1:23" ht="15.6">
      <c r="A60" s="2182"/>
      <c r="B60" s="8">
        <v>200</v>
      </c>
      <c r="C60" s="8">
        <v>0.63400000000000001</v>
      </c>
      <c r="D60" s="6">
        <f>(($B60*'Equipment Results Matrix'!$R$267)+($C60*'Equipment Results Matrix'!$R$268)+'Equipment Results Matrix'!$R$269+'Equipment Results Matrix'!$T$274)*(1+'Equipment Results Matrix'!$T$276)</f>
        <v>82362.989227439975</v>
      </c>
      <c r="E60" s="44">
        <f>D60*Inflation!$D$3</f>
        <v>88803.2450879916</v>
      </c>
      <c r="F60" s="8" t="s">
        <v>35</v>
      </c>
      <c r="G60" s="6">
        <f>(($B60*'Equipment Results Matrix'!$R$267)+(G$57*'Equipment Results Matrix'!$R$268)+'Equipment Results Matrix'!$R$269+'Equipment Results Matrix'!$T$274)*(1+'Equipment Results Matrix'!$T$276)</f>
        <v>90536.451216000001</v>
      </c>
      <c r="H60" s="6">
        <f>(($B60*'Equipment Results Matrix'!$R$267)+(H$57*'Equipment Results Matrix'!$R$268)+'Equipment Results Matrix'!$R$269+'Equipment Results Matrix'!$T$274)*(1+'Equipment Results Matrix'!$T$276)</f>
        <v>95344.370032799983</v>
      </c>
      <c r="I60" s="6">
        <f>(($B60*'Equipment Results Matrix'!$R$267)+(I$57*'Equipment Results Matrix'!$R$268)+'Equipment Results Matrix'!$R$269+'Equipment Results Matrix'!$T$274)*(1+'Equipment Results Matrix'!$T$276)</f>
        <v>104960.20766639996</v>
      </c>
      <c r="J60" s="42" t="s">
        <v>35</v>
      </c>
      <c r="K60" s="43">
        <f>G60*Inflation!$D$3</f>
        <v>97615.81921862626</v>
      </c>
      <c r="L60" s="43">
        <f>H60*Inflation!$D$3</f>
        <v>102799.68635429368</v>
      </c>
      <c r="M60" s="43">
        <f>I60*Inflation!$D$3</f>
        <v>113167.42062562853</v>
      </c>
      <c r="N60" s="63"/>
      <c r="O60" s="8">
        <v>200</v>
      </c>
      <c r="P60" s="8" t="s">
        <v>35</v>
      </c>
      <c r="Q60" s="3">
        <f t="shared" si="22"/>
        <v>40.867309942800127</v>
      </c>
      <c r="R60" s="3">
        <f t="shared" si="23"/>
        <v>64.906904026800035</v>
      </c>
      <c r="S60" s="3">
        <f t="shared" si="24"/>
        <v>112.98609219479994</v>
      </c>
      <c r="T60" s="42" t="s">
        <v>35</v>
      </c>
      <c r="U60" s="1469">
        <f>(K60-$E60)/$O60</f>
        <v>44.062870653173306</v>
      </c>
      <c r="V60" s="1469">
        <f t="shared" si="26"/>
        <v>69.982206331510383</v>
      </c>
      <c r="W60" s="1469">
        <f t="shared" si="27"/>
        <v>121.82087768818462</v>
      </c>
    </row>
    <row r="61" spans="1:23" ht="15.6">
      <c r="A61" s="2182"/>
      <c r="B61" s="47">
        <v>300</v>
      </c>
      <c r="C61" s="8">
        <v>0.57599999999999996</v>
      </c>
      <c r="D61" s="6">
        <f>(($B61*'Equipment Results Matrix'!$R$267)+($C61*'Equipment Results Matrix'!$R$268)+'Equipment Results Matrix'!$R$269+'Equipment Results Matrix'!$T$274)*(1+'Equipment Results Matrix'!$T$276)</f>
        <v>126461.05379615999</v>
      </c>
      <c r="E61" s="44">
        <f>D61*Inflation!$D$3</f>
        <v>136349.49459319355</v>
      </c>
      <c r="F61" s="8" t="s">
        <v>35</v>
      </c>
      <c r="G61" s="8" t="s">
        <v>35</v>
      </c>
      <c r="H61" s="8" t="s">
        <v>35</v>
      </c>
      <c r="I61" s="6">
        <f>(($B61*'Equipment Results Matrix'!$R$267)+(I$57*'Equipment Results Matrix'!$R$268)+'Equipment Results Matrix'!$R$269+'Equipment Results Matrix'!$T$274)*(1+'Equipment Results Matrix'!$T$276)</f>
        <v>135115.30766639995</v>
      </c>
      <c r="J61" s="42" t="s">
        <v>35</v>
      </c>
      <c r="K61" s="42" t="s">
        <v>35</v>
      </c>
      <c r="L61" s="42" t="s">
        <v>35</v>
      </c>
      <c r="M61" s="43">
        <f>I61*Inflation!$D$3</f>
        <v>145680.45543739491</v>
      </c>
      <c r="N61" s="63"/>
      <c r="O61" s="47">
        <v>300</v>
      </c>
      <c r="P61" s="8" t="s">
        <v>35</v>
      </c>
      <c r="Q61" s="8" t="s">
        <v>35</v>
      </c>
      <c r="R61" s="8" t="s">
        <v>35</v>
      </c>
      <c r="S61" s="3">
        <f t="shared" si="24"/>
        <v>28.84751290079987</v>
      </c>
      <c r="T61" s="42" t="s">
        <v>35</v>
      </c>
      <c r="U61" s="1470" t="s">
        <v>35</v>
      </c>
      <c r="V61" s="1470" t="s">
        <v>35</v>
      </c>
      <c r="W61" s="1469">
        <f>(M61-$E61)/$O61</f>
        <v>31.103202814004518</v>
      </c>
    </row>
    <row r="62" spans="1:23" ht="15.6">
      <c r="A62" s="2182"/>
      <c r="B62" s="1501">
        <v>600</v>
      </c>
      <c r="C62" s="1502">
        <v>0.56999999999999995</v>
      </c>
      <c r="D62" s="1503">
        <f>(($B62*'Equipment Results Matrix'!$R$267)+($C62*'Equipment Results Matrix'!$R$268)+'Equipment Results Matrix'!$R$269+'Equipment Results Matrix'!$T$274)*(1+'Equipment Results Matrix'!$T$276)</f>
        <v>218368.7294412</v>
      </c>
      <c r="E62" s="1504">
        <f>D62*Inflation!$D$3</f>
        <v>235443.75916919296</v>
      </c>
      <c r="F62" s="1502" t="s">
        <v>35</v>
      </c>
      <c r="G62" s="1502" t="s">
        <v>35</v>
      </c>
      <c r="H62" s="1502" t="s">
        <v>35</v>
      </c>
      <c r="I62" s="1503">
        <f>(($B62*'Equipment Results Matrix'!$R$267)+(I$57*'Equipment Results Matrix'!$R$268)+'Equipment Results Matrix'!$R$269+'Equipment Results Matrix'!$T$274)*(1+'Equipment Results Matrix'!$T$276)</f>
        <v>225580.60766639997</v>
      </c>
      <c r="J62" s="1505" t="s">
        <v>35</v>
      </c>
      <c r="K62" s="1505" t="s">
        <v>35</v>
      </c>
      <c r="L62" s="1505" t="s">
        <v>35</v>
      </c>
      <c r="M62" s="1506">
        <f>I62*Inflation!$D$3</f>
        <v>243219.55987269405</v>
      </c>
      <c r="N62" s="63"/>
      <c r="O62" s="1501">
        <v>600</v>
      </c>
      <c r="P62" s="1502" t="s">
        <v>35</v>
      </c>
      <c r="Q62" s="1502" t="s">
        <v>35</v>
      </c>
      <c r="R62" s="1502" t="s">
        <v>35</v>
      </c>
      <c r="S62" s="1507">
        <f t="shared" si="24"/>
        <v>12.019797041999942</v>
      </c>
      <c r="T62" s="1505" t="s">
        <v>35</v>
      </c>
      <c r="U62" s="1508" t="s">
        <v>35</v>
      </c>
      <c r="V62" s="1508" t="s">
        <v>35</v>
      </c>
      <c r="W62" s="1509">
        <f t="shared" si="27"/>
        <v>12.959667839168493</v>
      </c>
    </row>
    <row r="63" spans="1:23">
      <c r="A63" s="2182"/>
      <c r="B63" s="2186" t="s">
        <v>46</v>
      </c>
      <c r="C63" s="2186"/>
      <c r="D63" s="2186"/>
      <c r="E63" s="2186"/>
      <c r="F63" s="2186"/>
      <c r="G63" s="2186"/>
      <c r="H63" s="2186"/>
      <c r="I63" s="2186"/>
      <c r="J63" s="2186"/>
      <c r="K63" s="2186"/>
      <c r="L63" s="2186"/>
      <c r="M63" s="2186"/>
      <c r="N63" s="2186"/>
      <c r="O63" s="2186"/>
      <c r="P63" s="2186"/>
      <c r="Q63" s="2186"/>
      <c r="R63" s="2186"/>
      <c r="S63" s="2186"/>
      <c r="T63" s="2186"/>
      <c r="U63" s="2186"/>
      <c r="V63" s="2186"/>
      <c r="W63" s="2186"/>
    </row>
    <row r="64" spans="1:23" ht="15.75" customHeight="1">
      <c r="A64" s="2182"/>
      <c r="B64" s="2180" t="s">
        <v>31</v>
      </c>
      <c r="C64" s="2180" t="s">
        <v>37</v>
      </c>
      <c r="D64" s="2180" t="s">
        <v>44</v>
      </c>
      <c r="E64" s="2180" t="s">
        <v>113</v>
      </c>
      <c r="F64" s="2180" t="s">
        <v>423</v>
      </c>
      <c r="G64" s="2180"/>
      <c r="H64" s="2180"/>
      <c r="I64" s="2180"/>
      <c r="J64" s="2180" t="s">
        <v>425</v>
      </c>
      <c r="K64" s="2180"/>
      <c r="L64" s="2180"/>
      <c r="M64" s="2180"/>
      <c r="N64" s="63"/>
      <c r="O64" s="2180" t="s">
        <v>31</v>
      </c>
      <c r="P64" s="2175" t="s">
        <v>1800</v>
      </c>
      <c r="Q64" s="2176"/>
      <c r="R64" s="2176"/>
      <c r="S64" s="2176"/>
      <c r="T64" s="2175" t="s">
        <v>1801</v>
      </c>
      <c r="U64" s="2176"/>
      <c r="V64" s="2176"/>
      <c r="W64" s="2176"/>
    </row>
    <row r="65" spans="1:23" ht="15.75" customHeight="1">
      <c r="A65" s="2182"/>
      <c r="B65" s="2160"/>
      <c r="C65" s="2160"/>
      <c r="D65" s="2160"/>
      <c r="E65" s="2160"/>
      <c r="F65" s="2160" t="s">
        <v>229</v>
      </c>
      <c r="G65" s="2160"/>
      <c r="H65" s="2160"/>
      <c r="I65" s="2160"/>
      <c r="J65" s="2160" t="s">
        <v>229</v>
      </c>
      <c r="K65" s="2160"/>
      <c r="L65" s="2160"/>
      <c r="M65" s="2160"/>
      <c r="N65" s="63"/>
      <c r="O65" s="2160"/>
      <c r="P65" s="2160" t="s">
        <v>229</v>
      </c>
      <c r="Q65" s="2160"/>
      <c r="R65" s="2160"/>
      <c r="S65" s="2160"/>
      <c r="T65" s="2160" t="s">
        <v>229</v>
      </c>
      <c r="U65" s="2160"/>
      <c r="V65" s="2160"/>
      <c r="W65" s="2160"/>
    </row>
    <row r="66" spans="1:23" ht="16.2">
      <c r="A66" s="2182"/>
      <c r="B66" s="2160"/>
      <c r="C66" s="2160"/>
      <c r="D66" s="2160"/>
      <c r="E66" s="2160"/>
      <c r="F66" s="26" t="s">
        <v>22</v>
      </c>
      <c r="G66" s="26">
        <v>0.6</v>
      </c>
      <c r="H66" s="26">
        <v>0.57999999999999996</v>
      </c>
      <c r="I66" s="49">
        <v>0.54</v>
      </c>
      <c r="J66" s="26" t="s">
        <v>22</v>
      </c>
      <c r="K66" s="26">
        <v>0.6</v>
      </c>
      <c r="L66" s="26">
        <v>0.57999999999999996</v>
      </c>
      <c r="M66" s="49">
        <v>0.54</v>
      </c>
      <c r="N66" s="63"/>
      <c r="O66" s="2160"/>
      <c r="P66" s="26" t="s">
        <v>22</v>
      </c>
      <c r="Q66" s="26">
        <v>0.6</v>
      </c>
      <c r="R66" s="26">
        <v>0.57999999999999996</v>
      </c>
      <c r="S66" s="49">
        <v>0.54</v>
      </c>
      <c r="T66" s="26" t="s">
        <v>22</v>
      </c>
      <c r="U66" s="26">
        <v>0.6</v>
      </c>
      <c r="V66" s="26">
        <v>0.57999999999999996</v>
      </c>
      <c r="W66" s="49">
        <v>0.54</v>
      </c>
    </row>
    <row r="67" spans="1:23" ht="15.6">
      <c r="A67" s="2182"/>
      <c r="B67" s="8">
        <v>100</v>
      </c>
      <c r="C67" s="8">
        <v>0.61</v>
      </c>
      <c r="D67" s="6">
        <f>(($B67*'Equipment Results Matrix'!$R$267)+($C67*'Equipment Results Matrix'!$R$268)+'Equipment Results Matrix'!$R$269+'Equipment Results Matrix'!$T$274)*(1+'Equipment Results Matrix'!$T$276)</f>
        <v>57977.39180759999</v>
      </c>
      <c r="E67" s="44">
        <f>D67*Inflation!$D$3</f>
        <v>62510.850839026149</v>
      </c>
      <c r="F67" s="8" t="s">
        <v>35</v>
      </c>
      <c r="G67" s="6">
        <f>(($B67*'Equipment Results Matrix'!$R$267)+(G$57*'Equipment Results Matrix'!$R$268)+'Equipment Results Matrix'!$R$269+'Equipment Results Matrix'!$T$274)*(1+'Equipment Results Matrix'!$T$276)</f>
        <v>60381.351215999995</v>
      </c>
      <c r="H67" s="6">
        <f>(($B67*'Equipment Results Matrix'!$R$267)+(H$57*'Equipment Results Matrix'!$R$268)+'Equipment Results Matrix'!$R$269+'Equipment Results Matrix'!$T$274)*(1+'Equipment Results Matrix'!$T$276)</f>
        <v>65189.270032799985</v>
      </c>
      <c r="I67" s="6">
        <f>(($B67*'Equipment Results Matrix'!$R$267)+(I$57*'Equipment Results Matrix'!$R$268)+'Equipment Results Matrix'!$R$269+'Equipment Results Matrix'!$T$274)*(1+'Equipment Results Matrix'!$T$276)</f>
        <v>74805.10766639997</v>
      </c>
      <c r="J67" s="42" t="s">
        <v>35</v>
      </c>
      <c r="K67" s="43">
        <f>G67*Inflation!$D$3</f>
        <v>65102.784406859872</v>
      </c>
      <c r="L67" s="43">
        <f>H67*Inflation!$D$3</f>
        <v>70286.651542527296</v>
      </c>
      <c r="M67" s="43">
        <f>I67*Inflation!$D$3</f>
        <v>80654.385813862144</v>
      </c>
      <c r="N67" s="63"/>
      <c r="O67" s="8">
        <v>100</v>
      </c>
      <c r="P67" s="8" t="s">
        <v>35</v>
      </c>
      <c r="Q67" s="3">
        <f>(G67-$D67)/$O67</f>
        <v>24.039594084000054</v>
      </c>
      <c r="R67" s="3">
        <f t="shared" ref="R67:S67" si="28">(H67-$D67)/$O67</f>
        <v>72.118782251999946</v>
      </c>
      <c r="S67" s="3">
        <f t="shared" si="28"/>
        <v>168.27715858799979</v>
      </c>
      <c r="T67" s="42" t="s">
        <v>35</v>
      </c>
      <c r="U67" s="1469">
        <f>(K67-$E67)/$O67</f>
        <v>25.91933567833723</v>
      </c>
      <c r="V67" s="1469">
        <f t="shared" ref="V67:W67" si="29">(L67-$E67)/$O67</f>
        <v>77.758007035011474</v>
      </c>
      <c r="W67" s="1469">
        <f t="shared" si="29"/>
        <v>181.43534974835995</v>
      </c>
    </row>
    <row r="68" spans="1:23" ht="15.6">
      <c r="A68" s="2182"/>
      <c r="B68" s="8">
        <v>150</v>
      </c>
      <c r="C68" s="8">
        <v>0.61</v>
      </c>
      <c r="D68" s="6">
        <f>(($B68*'Equipment Results Matrix'!$R$267)+($C68*'Equipment Results Matrix'!$R$268)+'Equipment Results Matrix'!$R$269+'Equipment Results Matrix'!$T$274)*(1+'Equipment Results Matrix'!$T$276)</f>
        <v>73054.941807599986</v>
      </c>
      <c r="E68" s="44">
        <f>D68*Inflation!$D$3</f>
        <v>78767.368244909332</v>
      </c>
      <c r="F68" s="8" t="s">
        <v>35</v>
      </c>
      <c r="G68" s="6">
        <f>(($B68*'Equipment Results Matrix'!$R$267)+(G$57*'Equipment Results Matrix'!$R$268)+'Equipment Results Matrix'!$R$269+'Equipment Results Matrix'!$T$274)*(1+'Equipment Results Matrix'!$T$276)</f>
        <v>75458.901215999998</v>
      </c>
      <c r="H68" s="6">
        <f>(($B68*'Equipment Results Matrix'!$R$267)+(H$57*'Equipment Results Matrix'!$R$268)+'Equipment Results Matrix'!$R$269+'Equipment Results Matrix'!$T$274)*(1+'Equipment Results Matrix'!$T$276)</f>
        <v>80266.82003279998</v>
      </c>
      <c r="I68" s="6">
        <f>(($B68*'Equipment Results Matrix'!$R$267)+(I$57*'Equipment Results Matrix'!$R$268)+'Equipment Results Matrix'!$R$269+'Equipment Results Matrix'!$T$274)*(1+'Equipment Results Matrix'!$T$276)</f>
        <v>89882.657666399973</v>
      </c>
      <c r="J68" s="42" t="s">
        <v>35</v>
      </c>
      <c r="K68" s="43">
        <f>G68*Inflation!$D$3</f>
        <v>81359.30181274307</v>
      </c>
      <c r="L68" s="43">
        <f>H68*Inflation!$D$3</f>
        <v>86543.168948410486</v>
      </c>
      <c r="M68" s="43">
        <f>I68*Inflation!$D$3</f>
        <v>96910.903219745349</v>
      </c>
      <c r="N68" s="63"/>
      <c r="O68" s="8">
        <v>150</v>
      </c>
      <c r="P68" s="8" t="s">
        <v>35</v>
      </c>
      <c r="Q68" s="3">
        <f t="shared" ref="Q68:Q69" si="30">(G68-$D68)/$O68</f>
        <v>16.026396056000085</v>
      </c>
      <c r="R68" s="3">
        <f t="shared" ref="R68:R69" si="31">(H68-$D68)/$O68</f>
        <v>48.079188167999966</v>
      </c>
      <c r="S68" s="3">
        <f t="shared" ref="S68:S71" si="32">(I68-$D68)/$O68</f>
        <v>112.18477239199991</v>
      </c>
      <c r="T68" s="42" t="s">
        <v>35</v>
      </c>
      <c r="U68" s="1469">
        <f t="shared" ref="U68" si="33">(K68-$E68)/$O68</f>
        <v>17.279557118891582</v>
      </c>
      <c r="V68" s="1469">
        <f t="shared" ref="V68:V69" si="34">(L68-$E68)/$O68</f>
        <v>51.838671356674361</v>
      </c>
      <c r="W68" s="1469">
        <f t="shared" ref="W68:W69" si="35">(M68-$E68)/$O68</f>
        <v>120.95689983224011</v>
      </c>
    </row>
    <row r="69" spans="1:23" ht="15.6">
      <c r="A69" s="2182"/>
      <c r="B69" s="8">
        <v>200</v>
      </c>
      <c r="C69" s="8">
        <v>0.61</v>
      </c>
      <c r="D69" s="6">
        <f>(($B69*'Equipment Results Matrix'!$R$267)+($C69*'Equipment Results Matrix'!$R$268)+'Equipment Results Matrix'!$R$269+'Equipment Results Matrix'!$T$274)*(1+'Equipment Results Matrix'!$T$276)</f>
        <v>88132.491807599989</v>
      </c>
      <c r="E69" s="44">
        <f>D69*Inflation!$D$3</f>
        <v>95023.885650792537</v>
      </c>
      <c r="F69" s="8" t="s">
        <v>35</v>
      </c>
      <c r="G69" s="6">
        <f>(($B69*'Equipment Results Matrix'!$R$267)+(G$57*'Equipment Results Matrix'!$R$268)+'Equipment Results Matrix'!$R$269+'Equipment Results Matrix'!$T$274)*(1+'Equipment Results Matrix'!$T$276)</f>
        <v>90536.451216000001</v>
      </c>
      <c r="H69" s="6">
        <f>(($B69*'Equipment Results Matrix'!$R$267)+(H$57*'Equipment Results Matrix'!$R$268)+'Equipment Results Matrix'!$R$269+'Equipment Results Matrix'!$T$274)*(1+'Equipment Results Matrix'!$T$276)</f>
        <v>95344.370032799983</v>
      </c>
      <c r="I69" s="6">
        <f>(($B69*'Equipment Results Matrix'!$R$267)+(I$57*'Equipment Results Matrix'!$R$268)+'Equipment Results Matrix'!$R$269+'Equipment Results Matrix'!$T$274)*(1+'Equipment Results Matrix'!$T$276)</f>
        <v>104960.20766639996</v>
      </c>
      <c r="J69" s="42" t="s">
        <v>35</v>
      </c>
      <c r="K69" s="43">
        <f>G69*Inflation!$D$3</f>
        <v>97615.81921862626</v>
      </c>
      <c r="L69" s="43">
        <f>H69*Inflation!$D$3</f>
        <v>102799.68635429368</v>
      </c>
      <c r="M69" s="43">
        <f>I69*Inflation!$D$3</f>
        <v>113167.42062562853</v>
      </c>
      <c r="N69" s="63"/>
      <c r="O69" s="8">
        <v>200</v>
      </c>
      <c r="P69" s="8" t="s">
        <v>35</v>
      </c>
      <c r="Q69" s="3">
        <f t="shared" si="30"/>
        <v>12.019797042000064</v>
      </c>
      <c r="R69" s="3">
        <f t="shared" si="31"/>
        <v>36.059391125999973</v>
      </c>
      <c r="S69" s="3">
        <f t="shared" si="32"/>
        <v>84.138579293999868</v>
      </c>
      <c r="T69" s="42" t="s">
        <v>35</v>
      </c>
      <c r="U69" s="1469">
        <f>(K69-$E69)/$O69</f>
        <v>12.959667839168615</v>
      </c>
      <c r="V69" s="1469">
        <f t="shared" si="34"/>
        <v>38.879003517505701</v>
      </c>
      <c r="W69" s="1469">
        <f t="shared" si="35"/>
        <v>90.717674874179934</v>
      </c>
    </row>
    <row r="70" spans="1:23" ht="15.6">
      <c r="A70" s="2182"/>
      <c r="B70" s="47">
        <v>300</v>
      </c>
      <c r="C70" s="8">
        <v>0.56000000000000005</v>
      </c>
      <c r="D70" s="6">
        <f>(($B70*'Equipment Results Matrix'!$R$267)+($C70*'Equipment Results Matrix'!$R$268)+'Equipment Results Matrix'!$R$269+'Equipment Results Matrix'!$T$274)*(1+'Equipment Results Matrix'!$T$276)</f>
        <v>130307.38884959997</v>
      </c>
      <c r="E70" s="44">
        <f>D70*Inflation!$D$3</f>
        <v>140496.58830172749</v>
      </c>
      <c r="F70" s="8" t="s">
        <v>35</v>
      </c>
      <c r="G70" s="8" t="s">
        <v>35</v>
      </c>
      <c r="H70" s="8" t="s">
        <v>35</v>
      </c>
      <c r="I70" s="6">
        <f>(($B70*'Equipment Results Matrix'!$R$267)+(I$57*'Equipment Results Matrix'!$R$268)+'Equipment Results Matrix'!$R$269+'Equipment Results Matrix'!$T$274)*(1+'Equipment Results Matrix'!$T$276)</f>
        <v>135115.30766639995</v>
      </c>
      <c r="J70" s="42" t="s">
        <v>35</v>
      </c>
      <c r="K70" s="42" t="s">
        <v>35</v>
      </c>
      <c r="L70" s="42" t="s">
        <v>35</v>
      </c>
      <c r="M70" s="43">
        <f>I70*Inflation!$D$3</f>
        <v>145680.45543739491</v>
      </c>
      <c r="N70" s="63"/>
      <c r="O70" s="47">
        <v>300</v>
      </c>
      <c r="P70" s="8" t="s">
        <v>35</v>
      </c>
      <c r="Q70" s="8" t="s">
        <v>35</v>
      </c>
      <c r="R70" s="8" t="s">
        <v>35</v>
      </c>
      <c r="S70" s="3">
        <f t="shared" si="32"/>
        <v>16.026396055999939</v>
      </c>
      <c r="T70" s="42" t="s">
        <v>35</v>
      </c>
      <c r="U70" s="1470" t="s">
        <v>35</v>
      </c>
      <c r="V70" s="1470" t="s">
        <v>35</v>
      </c>
      <c r="W70" s="1469">
        <f>(M70-$E70)/$O70</f>
        <v>17.27955711889139</v>
      </c>
    </row>
    <row r="71" spans="1:23" ht="15.6">
      <c r="A71" s="2182"/>
      <c r="B71" s="47">
        <v>600</v>
      </c>
      <c r="C71" s="8">
        <v>0.56000000000000005</v>
      </c>
      <c r="D71" s="6">
        <f>(($B71*'Equipment Results Matrix'!$R$267)+($C71*'Equipment Results Matrix'!$R$268)+'Equipment Results Matrix'!$R$269+'Equipment Results Matrix'!$T$274)*(1+'Equipment Results Matrix'!$T$276)</f>
        <v>220772.6888496</v>
      </c>
      <c r="E71" s="44">
        <f>D71*Inflation!$D$3</f>
        <v>238035.69273702666</v>
      </c>
      <c r="F71" s="8" t="s">
        <v>35</v>
      </c>
      <c r="G71" s="8" t="s">
        <v>35</v>
      </c>
      <c r="H71" s="8" t="s">
        <v>35</v>
      </c>
      <c r="I71" s="6">
        <f>(($B71*'Equipment Results Matrix'!$R$267)+(I$57*'Equipment Results Matrix'!$R$268)+'Equipment Results Matrix'!$R$269+'Equipment Results Matrix'!$T$274)*(1+'Equipment Results Matrix'!$T$276)</f>
        <v>225580.60766639997</v>
      </c>
      <c r="J71" s="42" t="s">
        <v>35</v>
      </c>
      <c r="K71" s="42" t="s">
        <v>35</v>
      </c>
      <c r="L71" s="42" t="s">
        <v>35</v>
      </c>
      <c r="M71" s="43">
        <f>I71*Inflation!$D$3</f>
        <v>243219.55987269405</v>
      </c>
      <c r="N71" s="63"/>
      <c r="O71" s="47">
        <v>600</v>
      </c>
      <c r="P71" s="8" t="s">
        <v>35</v>
      </c>
      <c r="Q71" s="8" t="s">
        <v>35</v>
      </c>
      <c r="R71" s="8" t="s">
        <v>35</v>
      </c>
      <c r="S71" s="3">
        <f t="shared" si="32"/>
        <v>8.0131980279999464</v>
      </c>
      <c r="T71" s="42" t="s">
        <v>35</v>
      </c>
      <c r="U71" s="1470" t="s">
        <v>35</v>
      </c>
      <c r="V71" s="1470" t="s">
        <v>35</v>
      </c>
      <c r="W71" s="1469">
        <f>(M71-$E71)/$O71</f>
        <v>8.6397785594456469</v>
      </c>
    </row>
    <row r="73" spans="1:23" ht="21">
      <c r="A73" s="184" t="s">
        <v>634</v>
      </c>
      <c r="B73" s="4"/>
    </row>
  </sheetData>
  <mergeCells count="112">
    <mergeCell ref="B4:G4"/>
    <mergeCell ref="H4:M4"/>
    <mergeCell ref="B5:B6"/>
    <mergeCell ref="C5:C6"/>
    <mergeCell ref="D5:G5"/>
    <mergeCell ref="H5:H6"/>
    <mergeCell ref="I5:I6"/>
    <mergeCell ref="J5:M5"/>
    <mergeCell ref="B2:Y2"/>
    <mergeCell ref="B3:M3"/>
    <mergeCell ref="N4:S4"/>
    <mergeCell ref="T4:Y4"/>
    <mergeCell ref="N5:N6"/>
    <mergeCell ref="O5:O6"/>
    <mergeCell ref="P5:S5"/>
    <mergeCell ref="T5:T6"/>
    <mergeCell ref="U5:U6"/>
    <mergeCell ref="V5:Y5"/>
    <mergeCell ref="N3:Y3"/>
    <mergeCell ref="AE16:AF19"/>
    <mergeCell ref="Y18:Y25"/>
    <mergeCell ref="Z18:Z20"/>
    <mergeCell ref="Z21:Z23"/>
    <mergeCell ref="Z24:Z25"/>
    <mergeCell ref="Y16:AC16"/>
    <mergeCell ref="A16:W16"/>
    <mergeCell ref="B25:W25"/>
    <mergeCell ref="A35:W35"/>
    <mergeCell ref="C26:C28"/>
    <mergeCell ref="F26:I26"/>
    <mergeCell ref="J26:M26"/>
    <mergeCell ref="J27:M27"/>
    <mergeCell ref="A17:A33"/>
    <mergeCell ref="F27:I27"/>
    <mergeCell ref="J17:M17"/>
    <mergeCell ref="P17:S17"/>
    <mergeCell ref="J18:M18"/>
    <mergeCell ref="T17:W17"/>
    <mergeCell ref="T18:W18"/>
    <mergeCell ref="T26:W26"/>
    <mergeCell ref="T27:W27"/>
    <mergeCell ref="B17:B19"/>
    <mergeCell ref="D26:D28"/>
    <mergeCell ref="P18:S18"/>
    <mergeCell ref="B45:B47"/>
    <mergeCell ref="F37:I37"/>
    <mergeCell ref="C17:C19"/>
    <mergeCell ref="F17:I17"/>
    <mergeCell ref="B26:B28"/>
    <mergeCell ref="D17:D19"/>
    <mergeCell ref="C45:C47"/>
    <mergeCell ref="F45:I45"/>
    <mergeCell ref="P46:S46"/>
    <mergeCell ref="O36:O38"/>
    <mergeCell ref="O45:O47"/>
    <mergeCell ref="P26:S26"/>
    <mergeCell ref="P27:S27"/>
    <mergeCell ref="O17:O19"/>
    <mergeCell ref="O26:O28"/>
    <mergeCell ref="B36:B38"/>
    <mergeCell ref="C36:C38"/>
    <mergeCell ref="D36:D38"/>
    <mergeCell ref="F36:I36"/>
    <mergeCell ref="B44:W44"/>
    <mergeCell ref="J37:M37"/>
    <mergeCell ref="J45:M45"/>
    <mergeCell ref="J46:M46"/>
    <mergeCell ref="P37:S37"/>
    <mergeCell ref="P56:S56"/>
    <mergeCell ref="P45:S45"/>
    <mergeCell ref="P65:S65"/>
    <mergeCell ref="P64:S64"/>
    <mergeCell ref="B63:W63"/>
    <mergeCell ref="J55:M55"/>
    <mergeCell ref="J64:M64"/>
    <mergeCell ref="E45:E47"/>
    <mergeCell ref="C55:C57"/>
    <mergeCell ref="E55:E57"/>
    <mergeCell ref="A54:W54"/>
    <mergeCell ref="A36:A52"/>
    <mergeCell ref="P55:S55"/>
    <mergeCell ref="O55:O57"/>
    <mergeCell ref="T55:W55"/>
    <mergeCell ref="P36:S36"/>
    <mergeCell ref="J36:M36"/>
    <mergeCell ref="T36:W36"/>
    <mergeCell ref="T37:W37"/>
    <mergeCell ref="D55:D57"/>
    <mergeCell ref="A55:A71"/>
    <mergeCell ref="E17:E19"/>
    <mergeCell ref="E26:E28"/>
    <mergeCell ref="E36:E38"/>
    <mergeCell ref="F56:I56"/>
    <mergeCell ref="F65:I65"/>
    <mergeCell ref="C64:C66"/>
    <mergeCell ref="F64:I64"/>
    <mergeCell ref="E64:E66"/>
    <mergeCell ref="F18:I18"/>
    <mergeCell ref="D45:D47"/>
    <mergeCell ref="F46:I46"/>
    <mergeCell ref="F55:I55"/>
    <mergeCell ref="D64:D66"/>
    <mergeCell ref="B64:B66"/>
    <mergeCell ref="J65:M65"/>
    <mergeCell ref="T64:W64"/>
    <mergeCell ref="T65:W65"/>
    <mergeCell ref="J56:M56"/>
    <mergeCell ref="T56:W56"/>
    <mergeCell ref="O64:O66"/>
    <mergeCell ref="B55:B57"/>
    <mergeCell ref="T45:W45"/>
    <mergeCell ref="T46:W46"/>
  </mergeCells>
  <hyperlinks>
    <hyperlink ref="A73" location="'Master Summary'!A1" display="Return To Master Summary"/>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E60"/>
  <sheetViews>
    <sheetView zoomScale="70" zoomScaleNormal="70" workbookViewId="0">
      <selection sqref="A1:XFD1"/>
    </sheetView>
  </sheetViews>
  <sheetFormatPr defaultColWidth="9.109375" defaultRowHeight="14.4"/>
  <cols>
    <col min="1" max="3" width="9.109375" style="95"/>
    <col min="4" max="4" width="15.109375" style="95" customWidth="1"/>
    <col min="5" max="5" width="15" style="95" customWidth="1"/>
    <col min="6" max="6" width="12.44140625" style="95" customWidth="1"/>
    <col min="7" max="7" width="14.88671875" style="95" customWidth="1"/>
    <col min="8" max="8" width="13.109375" style="95" customWidth="1"/>
    <col min="9" max="9" width="16.88671875" style="95" customWidth="1"/>
    <col min="10" max="10" width="14.6640625" style="95" customWidth="1"/>
    <col min="11" max="11" width="11.88671875" style="95" customWidth="1"/>
    <col min="12" max="12" width="13.5546875" style="95" customWidth="1"/>
    <col min="13" max="13" width="15.6640625" style="95" customWidth="1"/>
    <col min="14" max="14" width="27.109375" style="95" customWidth="1"/>
    <col min="15" max="17" width="9.109375" style="95"/>
    <col min="18" max="18" width="14.33203125" style="95" bestFit="1" customWidth="1"/>
    <col min="19" max="20" width="9.109375" style="95"/>
    <col min="21" max="21" width="20" style="95" customWidth="1"/>
    <col min="22" max="22" width="16.6640625" style="95" customWidth="1"/>
    <col min="23" max="23" width="29" style="95" customWidth="1"/>
    <col min="24" max="24" width="25.88671875" style="95" customWidth="1"/>
    <col min="25" max="25" width="28.88671875" style="95" customWidth="1"/>
    <col min="26" max="26" width="19.88671875" style="95" customWidth="1"/>
    <col min="27" max="27" width="15" style="95" customWidth="1"/>
    <col min="28" max="28" width="14.88671875" style="95" customWidth="1"/>
    <col min="29" max="29" width="17.44140625" style="95" customWidth="1"/>
    <col min="30" max="30" width="19" style="95" customWidth="1"/>
    <col min="31" max="31" width="17.33203125" style="95" customWidth="1"/>
    <col min="32" max="16384" width="9.109375" style="95"/>
  </cols>
  <sheetData>
    <row r="1" spans="1:31" ht="30" customHeight="1">
      <c r="A1" s="1521"/>
      <c r="B1" s="2206" t="s">
        <v>424</v>
      </c>
      <c r="C1" s="2206"/>
      <c r="D1" s="2206"/>
      <c r="E1" s="2206"/>
      <c r="F1" s="2206"/>
      <c r="G1" s="2206"/>
      <c r="H1" s="2206"/>
      <c r="I1" s="2206"/>
      <c r="J1" s="2206"/>
      <c r="K1" s="2206"/>
      <c r="L1" s="2206"/>
      <c r="M1" s="2206"/>
      <c r="N1" s="2222" t="s">
        <v>732</v>
      </c>
      <c r="O1" s="2222"/>
      <c r="P1" s="2222"/>
      <c r="Q1" s="2222"/>
      <c r="R1" s="2222"/>
      <c r="S1" s="2222"/>
      <c r="T1" s="2222"/>
      <c r="U1" s="2222"/>
      <c r="V1" s="2222"/>
      <c r="W1" s="2222"/>
      <c r="X1" s="2222"/>
      <c r="Y1" s="2222"/>
      <c r="Z1" s="63"/>
      <c r="AA1" s="2212" t="s">
        <v>237</v>
      </c>
      <c r="AB1" s="2212"/>
      <c r="AC1" s="2212"/>
      <c r="AD1" s="2212"/>
      <c r="AE1" s="2213"/>
    </row>
    <row r="2" spans="1:31" ht="15.75" customHeight="1">
      <c r="A2" s="2186" t="s">
        <v>262</v>
      </c>
      <c r="B2" s="2186"/>
      <c r="C2" s="2186"/>
      <c r="D2" s="2186"/>
      <c r="E2" s="2186"/>
      <c r="F2" s="2186"/>
      <c r="G2" s="2186"/>
      <c r="H2" s="2186"/>
      <c r="I2" s="2186"/>
      <c r="J2" s="2186"/>
      <c r="K2" s="2186"/>
      <c r="L2" s="2186"/>
      <c r="M2" s="2186"/>
      <c r="N2" s="2186"/>
      <c r="O2" s="2186"/>
      <c r="P2" s="2186"/>
      <c r="Q2" s="2186"/>
      <c r="R2" s="2186"/>
      <c r="S2" s="2186"/>
      <c r="T2" s="2186"/>
      <c r="U2" s="2186"/>
      <c r="V2" s="2186"/>
      <c r="W2" s="2186"/>
      <c r="X2" s="2186"/>
      <c r="Y2" s="2186"/>
      <c r="Z2" s="63"/>
      <c r="AA2" s="29" t="s">
        <v>243</v>
      </c>
      <c r="AB2" s="29" t="s">
        <v>239</v>
      </c>
      <c r="AC2" s="20" t="s">
        <v>238</v>
      </c>
      <c r="AD2" s="29" t="s">
        <v>240</v>
      </c>
      <c r="AE2" s="29" t="s">
        <v>241</v>
      </c>
    </row>
    <row r="3" spans="1:31" ht="15.75" customHeight="1">
      <c r="A3" s="2182" t="s">
        <v>152</v>
      </c>
      <c r="B3" s="2160" t="s">
        <v>31</v>
      </c>
      <c r="C3" s="2160" t="s">
        <v>37</v>
      </c>
      <c r="D3" s="2160" t="s">
        <v>44</v>
      </c>
      <c r="E3" s="2160" t="s">
        <v>113</v>
      </c>
      <c r="F3" s="2160" t="s">
        <v>423</v>
      </c>
      <c r="G3" s="2160"/>
      <c r="H3" s="2160"/>
      <c r="I3" s="2160"/>
      <c r="J3" s="2160" t="s">
        <v>425</v>
      </c>
      <c r="K3" s="2160"/>
      <c r="L3" s="2160"/>
      <c r="M3" s="2160"/>
      <c r="N3" s="2208" t="s">
        <v>733</v>
      </c>
      <c r="O3" s="2207" t="s">
        <v>621</v>
      </c>
      <c r="P3" s="2207" t="s">
        <v>622</v>
      </c>
      <c r="Q3" s="2207" t="s">
        <v>261</v>
      </c>
      <c r="R3" s="2210" t="s">
        <v>623</v>
      </c>
      <c r="S3" s="2210" t="s">
        <v>624</v>
      </c>
      <c r="T3" s="2210" t="s">
        <v>629</v>
      </c>
      <c r="U3" s="2214" t="s">
        <v>625</v>
      </c>
      <c r="V3" s="2214" t="s">
        <v>765</v>
      </c>
      <c r="W3" s="2214"/>
      <c r="X3" s="2214"/>
      <c r="Y3" s="2214"/>
      <c r="Z3" s="63"/>
      <c r="AA3" s="2215" t="s">
        <v>247</v>
      </c>
      <c r="AB3" s="2218" t="s">
        <v>245</v>
      </c>
      <c r="AC3" s="64">
        <v>100</v>
      </c>
      <c r="AD3" s="3">
        <f>'Labor Results Matrix'!$L$149*'Labor Adjustment'!$B$5</f>
        <v>252.96139159912792</v>
      </c>
      <c r="AE3" s="3">
        <f>AD3*Inflation!$D$3</f>
        <v>272.74134494978676</v>
      </c>
    </row>
    <row r="4" spans="1:31" ht="15.75" customHeight="1">
      <c r="A4" s="2182"/>
      <c r="B4" s="2160"/>
      <c r="C4" s="2160"/>
      <c r="D4" s="2160"/>
      <c r="E4" s="2160"/>
      <c r="F4" s="2160" t="s">
        <v>229</v>
      </c>
      <c r="G4" s="2160"/>
      <c r="H4" s="2160"/>
      <c r="I4" s="2160"/>
      <c r="J4" s="2160" t="s">
        <v>229</v>
      </c>
      <c r="K4" s="2160"/>
      <c r="L4" s="2160"/>
      <c r="M4" s="2160"/>
      <c r="N4" s="2208"/>
      <c r="O4" s="2207"/>
      <c r="P4" s="2207"/>
      <c r="Q4" s="2207"/>
      <c r="R4" s="2210"/>
      <c r="S4" s="2210"/>
      <c r="T4" s="2210"/>
      <c r="U4" s="2214"/>
      <c r="V4" s="2211" t="s">
        <v>229</v>
      </c>
      <c r="W4" s="2211"/>
      <c r="X4" s="2211"/>
      <c r="Y4" s="2211"/>
      <c r="Z4" s="63"/>
      <c r="AA4" s="2216"/>
      <c r="AB4" s="2219"/>
      <c r="AC4" s="64">
        <v>200</v>
      </c>
      <c r="AD4" s="3">
        <f>'Labor Results Matrix'!$L$150*'Labor Adjustment'!$B$5</f>
        <v>209.13198448341078</v>
      </c>
      <c r="AE4" s="3">
        <f>AD4*Inflation!$D$3</f>
        <v>225.48476018195666</v>
      </c>
    </row>
    <row r="5" spans="1:31">
      <c r="A5" s="2182"/>
      <c r="B5" s="2160"/>
      <c r="C5" s="2160"/>
      <c r="D5" s="2160"/>
      <c r="E5" s="2160"/>
      <c r="F5" s="1480">
        <v>0.72</v>
      </c>
      <c r="G5" s="1480">
        <v>0.68</v>
      </c>
      <c r="H5" s="1480">
        <v>0.64</v>
      </c>
      <c r="I5" s="1480">
        <v>0.6</v>
      </c>
      <c r="J5" s="1480">
        <v>0.72</v>
      </c>
      <c r="K5" s="1480">
        <v>0.68</v>
      </c>
      <c r="L5" s="1480">
        <v>0.64</v>
      </c>
      <c r="M5" s="1480">
        <v>0.6</v>
      </c>
      <c r="N5" s="2208"/>
      <c r="O5" s="2207"/>
      <c r="P5" s="2207"/>
      <c r="Q5" s="2207"/>
      <c r="R5" s="2210"/>
      <c r="S5" s="2210"/>
      <c r="T5" s="2210"/>
      <c r="U5" s="2214"/>
      <c r="V5" s="1499">
        <v>0.72</v>
      </c>
      <c r="W5" s="1499">
        <v>0.68</v>
      </c>
      <c r="X5" s="1499">
        <v>0.64</v>
      </c>
      <c r="Y5" s="1499">
        <v>0.6</v>
      </c>
      <c r="Z5" s="331"/>
      <c r="AA5" s="2216"/>
      <c r="AB5" s="2220"/>
      <c r="AC5" s="65">
        <v>300</v>
      </c>
      <c r="AD5" s="3">
        <f>+'Labor Results Matrix'!$L$151*'Labor Adjustment'!$B$5</f>
        <v>175.51137705501623</v>
      </c>
      <c r="AE5" s="3">
        <f>AD5*Inflation!$D$3</f>
        <v>189.23523755685764</v>
      </c>
    </row>
    <row r="6" spans="1:31" ht="15.75" customHeight="1">
      <c r="A6" s="2182"/>
      <c r="B6" s="8">
        <v>50</v>
      </c>
      <c r="C6" s="8">
        <v>0.78</v>
      </c>
      <c r="D6" s="6">
        <f>(($B6*'Equipment Results Matrix'!$R$267)+($C6*'Equipment Results Matrix'!$R$268)+'Equipment Results Matrix'!$R$270+'Equipment Results Matrix'!$T$274)*(1+'Equipment Results Matrix'!$T$276)+AD3</f>
        <v>24481.05733639911</v>
      </c>
      <c r="E6" s="44">
        <f>D6*Inflation!$D$3</f>
        <v>26395.318516841035</v>
      </c>
      <c r="F6" s="6">
        <f>(($B6*'Equipment Results Matrix'!$R$267)+(F$5*'Equipment Results Matrix'!$R$268)+'Equipment Results Matrix'!$R$270+'Equipment Results Matrix'!$T$274)*(1+'Equipment Results Matrix'!$T$276)</f>
        <v>38651.852395200003</v>
      </c>
      <c r="G6" s="6">
        <f>(($B6*'Equipment Results Matrix'!$R$267)+(G$5*'Equipment Results Matrix'!$R$268)+'Equipment Results Matrix'!$R$270+'Equipment Results Matrix'!$T$274)*(1+'Equipment Results Matrix'!$T$276)</f>
        <v>48267.690028799989</v>
      </c>
      <c r="H6" s="8" t="s">
        <v>35</v>
      </c>
      <c r="I6" s="8" t="s">
        <v>35</v>
      </c>
      <c r="J6" s="43">
        <f>F6*Inflation!$D$3</f>
        <v>41674.178578893574</v>
      </c>
      <c r="K6" s="43">
        <f>G6*Inflation!$D$3</f>
        <v>52041.912850228422</v>
      </c>
      <c r="L6" s="42" t="s">
        <v>35</v>
      </c>
      <c r="M6" s="42" t="s">
        <v>35</v>
      </c>
      <c r="N6" s="332">
        <f>$AE$9</f>
        <v>295.74310892974461</v>
      </c>
      <c r="O6" s="333">
        <v>0.05</v>
      </c>
      <c r="P6" s="1477">
        <v>23</v>
      </c>
      <c r="Q6" s="341">
        <f>P6/3</f>
        <v>7.666666666666667</v>
      </c>
      <c r="R6" s="334">
        <f>((1+$O6)^Q6-1)/($O6*(1+$O6)^Q6)</f>
        <v>6.2412587657030576</v>
      </c>
      <c r="S6" s="36">
        <f>((1+$O6)^P6-1)/($O6*(1+$O6)^P6)</f>
        <v>13.488573884064344</v>
      </c>
      <c r="T6" s="36">
        <f>R6/S6</f>
        <v>0.4627070896706581</v>
      </c>
      <c r="U6" s="334">
        <f>(N6+E6)*T6</f>
        <v>12350.143445080583</v>
      </c>
      <c r="V6" s="335">
        <f>$U6+$N6+J6</f>
        <v>54320.065132903903</v>
      </c>
      <c r="W6" s="335">
        <f>$U6+$N6+K6</f>
        <v>64687.799404238751</v>
      </c>
      <c r="X6" s="336" t="s">
        <v>35</v>
      </c>
      <c r="Y6" s="336" t="s">
        <v>35</v>
      </c>
      <c r="Z6" s="337"/>
      <c r="AA6" s="2216"/>
      <c r="AB6" s="2218" t="s">
        <v>244</v>
      </c>
      <c r="AC6" s="64">
        <v>100</v>
      </c>
      <c r="AD6" s="3">
        <f>'Labor Results Matrix'!$L$152*'Labor Adjustment'!$B$5</f>
        <v>291.19658294405627</v>
      </c>
      <c r="AE6" s="3">
        <f>AD6*Inflation!$D$3</f>
        <v>313.96628226494084</v>
      </c>
    </row>
    <row r="7" spans="1:31" ht="15.6">
      <c r="A7" s="2182"/>
      <c r="B7" s="8">
        <v>100</v>
      </c>
      <c r="C7" s="8">
        <v>0.77500000000000002</v>
      </c>
      <c r="D7" s="6">
        <f>(($B7*'Equipment Results Matrix'!$R$267)+($C7*'Equipment Results Matrix'!$R$268)+'Equipment Results Matrix'!$R$270+'Equipment Results Matrix'!$T$274)*(1+'Equipment Results Matrix'!$T$276)</f>
        <v>40507.625648999994</v>
      </c>
      <c r="E7" s="44">
        <f>D7*Inflation!$D$3</f>
        <v>43675.061361691311</v>
      </c>
      <c r="F7" s="6">
        <f>(($B7*'Equipment Results Matrix'!$R$267)+(F$5*'Equipment Results Matrix'!$R$268)+'Equipment Results Matrix'!$R$270+'Equipment Results Matrix'!$T$274)*(1+'Equipment Results Matrix'!$T$276)</f>
        <v>53729.402395200006</v>
      </c>
      <c r="G7" s="6">
        <f>(($B7*'Equipment Results Matrix'!$R$267)+(G$5*'Equipment Results Matrix'!$R$268)+'Equipment Results Matrix'!$R$270+'Equipment Results Matrix'!$T$274)*(1+'Equipment Results Matrix'!$T$276)</f>
        <v>63345.240028799984</v>
      </c>
      <c r="H7" s="8" t="s">
        <v>35</v>
      </c>
      <c r="I7" s="8" t="s">
        <v>35</v>
      </c>
      <c r="J7" s="43">
        <f>F7*Inflation!$D$3</f>
        <v>57930.695984776765</v>
      </c>
      <c r="K7" s="43">
        <f>G7*Inflation!$D$3</f>
        <v>68298.430256111606</v>
      </c>
      <c r="L7" s="42" t="s">
        <v>35</v>
      </c>
      <c r="M7" s="42" t="s">
        <v>35</v>
      </c>
      <c r="N7" s="332">
        <f>$AE$9</f>
        <v>295.74310892974461</v>
      </c>
      <c r="O7" s="333">
        <v>0.05</v>
      </c>
      <c r="P7" s="1477">
        <v>23</v>
      </c>
      <c r="Q7" s="341">
        <f t="shared" ref="Q7:Q10" si="0">P7/3</f>
        <v>7.666666666666667</v>
      </c>
      <c r="R7" s="334">
        <f t="shared" ref="R7:R10" si="1">((1+$O7)^Q7-1)/($O7*(1+$O7)^Q7)</f>
        <v>6.2412587657030576</v>
      </c>
      <c r="S7" s="36">
        <f t="shared" ref="S7:S10" si="2">((1+$O7)^P7-1)/($O7*(1+$O7)^P7)</f>
        <v>13.488573884064344</v>
      </c>
      <c r="T7" s="36">
        <f t="shared" ref="T7:T10" si="3">R7/S7</f>
        <v>0.4627070896706581</v>
      </c>
      <c r="U7" s="334">
        <f>(N7+E7)*T7</f>
        <v>20345.60296707863</v>
      </c>
      <c r="V7" s="335">
        <f>$U7+$N7+J7</f>
        <v>78572.042060785141</v>
      </c>
      <c r="W7" s="335">
        <f>$U7+$N7+K7</f>
        <v>88939.776332119975</v>
      </c>
      <c r="X7" s="336" t="s">
        <v>35</v>
      </c>
      <c r="Y7" s="336" t="s">
        <v>35</v>
      </c>
      <c r="Z7" s="338"/>
      <c r="AA7" s="2216"/>
      <c r="AB7" s="2219"/>
      <c r="AC7" s="64">
        <v>200</v>
      </c>
      <c r="AD7" s="3">
        <f>'Labor Results Matrix'!$L$153*'Labor Adjustment'!$B$5</f>
        <v>231.13528254113879</v>
      </c>
      <c r="AE7" s="3">
        <f>AD7*Inflation!$D$3</f>
        <v>249.20857458564237</v>
      </c>
    </row>
    <row r="8" spans="1:31" ht="15.6">
      <c r="A8" s="2182"/>
      <c r="B8" s="8">
        <v>150</v>
      </c>
      <c r="C8" s="8">
        <v>0.68</v>
      </c>
      <c r="D8" s="6">
        <f>(($B8*'Equipment Results Matrix'!$R$267)+($C8*'Equipment Results Matrix'!$R$268)+'Equipment Results Matrix'!$R$270+'Equipment Results Matrix'!$T$274)*(1+'Equipment Results Matrix'!$T$276)</f>
        <v>78422.79002879998</v>
      </c>
      <c r="E8" s="44">
        <f>D8*Inflation!$D$3</f>
        <v>84554.947661994796</v>
      </c>
      <c r="F8" s="8" t="s">
        <v>35</v>
      </c>
      <c r="G8" s="8" t="s">
        <v>35</v>
      </c>
      <c r="H8" s="8" t="s">
        <v>35</v>
      </c>
      <c r="I8" s="8" t="s">
        <v>35</v>
      </c>
      <c r="J8" s="42" t="s">
        <v>35</v>
      </c>
      <c r="K8" s="42" t="s">
        <v>35</v>
      </c>
      <c r="L8" s="42" t="s">
        <v>35</v>
      </c>
      <c r="M8" s="42" t="s">
        <v>35</v>
      </c>
      <c r="N8" s="332">
        <f>$AE$10</f>
        <v>233.02465630359515</v>
      </c>
      <c r="O8" s="333">
        <v>0.05</v>
      </c>
      <c r="P8" s="1477">
        <v>23</v>
      </c>
      <c r="Q8" s="341">
        <f t="shared" si="0"/>
        <v>7.666666666666667</v>
      </c>
      <c r="R8" s="334">
        <f t="shared" si="1"/>
        <v>6.2412587657030576</v>
      </c>
      <c r="S8" s="36">
        <f t="shared" si="2"/>
        <v>13.488573884064344</v>
      </c>
      <c r="T8" s="36">
        <f t="shared" si="3"/>
        <v>0.4627070896706581</v>
      </c>
      <c r="U8" s="334">
        <f>(N8+E8)*T8</f>
        <v>39231.995910476166</v>
      </c>
      <c r="V8" s="336" t="s">
        <v>35</v>
      </c>
      <c r="W8" s="336" t="s">
        <v>35</v>
      </c>
      <c r="X8" s="336" t="s">
        <v>35</v>
      </c>
      <c r="Y8" s="336" t="s">
        <v>35</v>
      </c>
      <c r="Z8" s="338"/>
      <c r="AA8" s="2216"/>
      <c r="AB8" s="2220"/>
      <c r="AC8" s="65">
        <v>300</v>
      </c>
      <c r="AD8" s="3">
        <f>'Labor Results Matrix'!$L$154*'Labor Adjustment'!$B$5</f>
        <v>187.6846721697961</v>
      </c>
      <c r="AE8" s="3">
        <f>AD8*Inflation!$D$3</f>
        <v>202.36040603054016</v>
      </c>
    </row>
    <row r="9" spans="1:31" ht="15.6">
      <c r="A9" s="2182"/>
      <c r="B9" s="8">
        <v>200</v>
      </c>
      <c r="C9" s="8">
        <v>0.68</v>
      </c>
      <c r="D9" s="6">
        <f>(($B9*'Equipment Results Matrix'!$R$267)+($C9*'Equipment Results Matrix'!$R$268)+'Equipment Results Matrix'!$R$270+'Equipment Results Matrix'!$T$274)*(1+'Equipment Results Matrix'!$T$276)</f>
        <v>93500.340028799983</v>
      </c>
      <c r="E9" s="44">
        <f>D9*Inflation!$D$3</f>
        <v>100811.46506787799</v>
      </c>
      <c r="F9" s="8" t="s">
        <v>35</v>
      </c>
      <c r="G9" s="8" t="s">
        <v>35</v>
      </c>
      <c r="H9" s="6">
        <f>(($B9*'Equipment Results Matrix'!$R$267)+(H$5*'Equipment Results Matrix'!$R$268)+'Equipment Results Matrix'!$R$270+'Equipment Results Matrix'!$T$274)*(1+'Equipment Results Matrix'!$T$276)</f>
        <v>103116.17766239999</v>
      </c>
      <c r="I9" s="6">
        <f>(($B9*'Equipment Results Matrix'!$R$267)+(I$5*'Equipment Results Matrix'!$R$268)+'Equipment Results Matrix'!$R$270+'Equipment Results Matrix'!$T$274)*(1+'Equipment Results Matrix'!$T$276)</f>
        <v>112732.015296</v>
      </c>
      <c r="J9" s="42" t="s">
        <v>35</v>
      </c>
      <c r="K9" s="42" t="s">
        <v>35</v>
      </c>
      <c r="L9" s="43">
        <f>H9*Inflation!$D$3</f>
        <v>111179.19933921286</v>
      </c>
      <c r="M9" s="43">
        <f>I9*Inflation!$D$3</f>
        <v>121546.93361054774</v>
      </c>
      <c r="N9" s="332">
        <f>$AE$10</f>
        <v>233.02465630359515</v>
      </c>
      <c r="O9" s="333">
        <v>0.05</v>
      </c>
      <c r="P9" s="1477">
        <v>23</v>
      </c>
      <c r="Q9" s="341">
        <f t="shared" si="0"/>
        <v>7.666666666666667</v>
      </c>
      <c r="R9" s="334">
        <f t="shared" si="1"/>
        <v>6.2412587657030576</v>
      </c>
      <c r="S9" s="36">
        <f t="shared" si="2"/>
        <v>13.488573884064344</v>
      </c>
      <c r="T9" s="36">
        <f t="shared" si="3"/>
        <v>0.4627070896706581</v>
      </c>
      <c r="U9" s="334">
        <f>(N9+E9)*T9</f>
        <v>46754.001767532776</v>
      </c>
      <c r="V9" s="336" t="s">
        <v>35</v>
      </c>
      <c r="W9" s="336" t="s">
        <v>35</v>
      </c>
      <c r="X9" s="335">
        <f>$U9+$N9+L9</f>
        <v>158166.22576304924</v>
      </c>
      <c r="Y9" s="335">
        <f>$U9+$N9+M9</f>
        <v>168533.9600343841</v>
      </c>
      <c r="Z9" s="338"/>
      <c r="AA9" s="2216"/>
      <c r="AB9" s="2007" t="s">
        <v>242</v>
      </c>
      <c r="AC9" s="64">
        <v>100</v>
      </c>
      <c r="AD9" s="3">
        <f>'Labor Results Matrix'!$L$155*'Labor Adjustment'!$B$5</f>
        <v>274.29500431807992</v>
      </c>
      <c r="AE9" s="3">
        <f>AD9*Inflation!$D$3</f>
        <v>295.74310892974461</v>
      </c>
    </row>
    <row r="10" spans="1:31" ht="15.6">
      <c r="A10" s="2182"/>
      <c r="B10" s="47">
        <v>400</v>
      </c>
      <c r="C10" s="47">
        <v>0.62</v>
      </c>
      <c r="D10" s="48">
        <f>(($B10*'Equipment Results Matrix'!$R$267)+($C10*'Equipment Results Matrix'!$R$268)+'Equipment Results Matrix'!$R$270+'Equipment Results Matrix'!$T$274)*(1+'Equipment Results Matrix'!$T$276)</f>
        <v>168234.29647920001</v>
      </c>
      <c r="E10" s="44">
        <f>D10*Inflation!$D$3</f>
        <v>181389.13609841309</v>
      </c>
      <c r="F10" s="8" t="s">
        <v>35</v>
      </c>
      <c r="G10" s="8" t="s">
        <v>35</v>
      </c>
      <c r="H10" s="8" t="s">
        <v>35</v>
      </c>
      <c r="I10" s="6">
        <f>(($B10*'Equipment Results Matrix'!$R$267)+(I$5*'Equipment Results Matrix'!$R$268)+'Equipment Results Matrix'!$R$270+'Equipment Results Matrix'!$T$274)*(1+'Equipment Results Matrix'!$T$276)</f>
        <v>173042.21529599998</v>
      </c>
      <c r="J10" s="42" t="s">
        <v>35</v>
      </c>
      <c r="K10" s="42" t="s">
        <v>35</v>
      </c>
      <c r="L10" s="42" t="s">
        <v>35</v>
      </c>
      <c r="M10" s="43">
        <f>I10*Inflation!$D$3</f>
        <v>186573.00323408048</v>
      </c>
      <c r="N10" s="332">
        <f>$AE$11</f>
        <v>196.21348078378611</v>
      </c>
      <c r="O10" s="333">
        <v>0.05</v>
      </c>
      <c r="P10" s="1477">
        <v>23</v>
      </c>
      <c r="Q10" s="341">
        <f t="shared" si="0"/>
        <v>7.666666666666667</v>
      </c>
      <c r="R10" s="334">
        <f t="shared" si="1"/>
        <v>6.2412587657030576</v>
      </c>
      <c r="S10" s="36">
        <f t="shared" si="2"/>
        <v>13.488573884064344</v>
      </c>
      <c r="T10" s="36">
        <f t="shared" si="3"/>
        <v>0.4627070896706581</v>
      </c>
      <c r="U10" s="334">
        <f>(N10+E10)*T10</f>
        <v>84020.828630619246</v>
      </c>
      <c r="V10" s="336" t="s">
        <v>35</v>
      </c>
      <c r="W10" s="336" t="s">
        <v>35</v>
      </c>
      <c r="X10" s="336" t="s">
        <v>35</v>
      </c>
      <c r="Y10" s="335">
        <f>$U10+$N10+M10</f>
        <v>270790.04534548352</v>
      </c>
      <c r="Z10" s="338"/>
      <c r="AA10" s="2216"/>
      <c r="AB10" s="2221"/>
      <c r="AC10" s="64">
        <v>200</v>
      </c>
      <c r="AD10" s="3">
        <f>'Labor Results Matrix'!$L$156*'Labor Adjustment'!$B$5</f>
        <v>216.12506657660674</v>
      </c>
      <c r="AE10" s="3">
        <f>AD10*Inflation!$D$3</f>
        <v>233.02465630359515</v>
      </c>
    </row>
    <row r="11" spans="1:31" ht="15.75" customHeight="1">
      <c r="A11" s="2182"/>
      <c r="B11" s="2186" t="s">
        <v>47</v>
      </c>
      <c r="C11" s="2186"/>
      <c r="D11" s="2186"/>
      <c r="E11" s="2186"/>
      <c r="F11" s="2186"/>
      <c r="G11" s="2186"/>
      <c r="H11" s="2186"/>
      <c r="I11" s="2186"/>
      <c r="J11" s="2186"/>
      <c r="K11" s="2186"/>
      <c r="L11" s="2186"/>
      <c r="M11" s="2186"/>
      <c r="N11" s="2186"/>
      <c r="O11" s="2186"/>
      <c r="P11" s="2186"/>
      <c r="Q11" s="2186"/>
      <c r="R11" s="2186"/>
      <c r="S11" s="2186"/>
      <c r="T11" s="2186"/>
      <c r="U11" s="2186"/>
      <c r="V11" s="2186"/>
      <c r="W11" s="2186"/>
      <c r="X11" s="2186"/>
      <c r="Y11" s="2186"/>
      <c r="Z11" s="338"/>
      <c r="AA11" s="2217"/>
      <c r="AB11" s="1985"/>
      <c r="AC11" s="65">
        <v>300</v>
      </c>
      <c r="AD11" s="3">
        <f>'Labor Results Matrix'!$L$157*'Labor Adjustment'!$B$5</f>
        <v>181.98353886798228</v>
      </c>
      <c r="AE11" s="3">
        <f>AD11*Inflation!$D$3</f>
        <v>196.21348078378611</v>
      </c>
    </row>
    <row r="12" spans="1:31" ht="15.75" customHeight="1">
      <c r="A12" s="2182"/>
      <c r="B12" s="2160" t="s">
        <v>31</v>
      </c>
      <c r="C12" s="2160" t="s">
        <v>37</v>
      </c>
      <c r="D12" s="2160" t="s">
        <v>44</v>
      </c>
      <c r="E12" s="2160" t="s">
        <v>113</v>
      </c>
      <c r="F12" s="2160" t="s">
        <v>423</v>
      </c>
      <c r="G12" s="2160"/>
      <c r="H12" s="2160"/>
      <c r="I12" s="2160"/>
      <c r="J12" s="2160" t="s">
        <v>425</v>
      </c>
      <c r="K12" s="2160"/>
      <c r="L12" s="2160"/>
      <c r="M12" s="2160"/>
      <c r="N12" s="2208" t="s">
        <v>733</v>
      </c>
      <c r="O12" s="2207" t="s">
        <v>621</v>
      </c>
      <c r="P12" s="2207" t="s">
        <v>622</v>
      </c>
      <c r="Q12" s="2207" t="s">
        <v>261</v>
      </c>
      <c r="R12" s="2210" t="s">
        <v>623</v>
      </c>
      <c r="S12" s="2210" t="s">
        <v>624</v>
      </c>
      <c r="T12" s="2210" t="s">
        <v>629</v>
      </c>
      <c r="U12" s="2214" t="s">
        <v>625</v>
      </c>
      <c r="V12" s="2214" t="s">
        <v>638</v>
      </c>
      <c r="W12" s="2214"/>
      <c r="X12" s="2214"/>
      <c r="Y12" s="2214"/>
      <c r="Z12" s="338"/>
      <c r="AA12" s="2223" t="s">
        <v>734</v>
      </c>
      <c r="AB12" s="303" t="s">
        <v>735</v>
      </c>
      <c r="AC12" s="303">
        <v>300</v>
      </c>
      <c r="AD12" s="334">
        <f>'Labor Results Matrix'!$L$184*'Labor Adjustment'!$B$5</f>
        <v>175.40654821432747</v>
      </c>
      <c r="AE12" s="36">
        <f>AD12*Inflation!$D$3</f>
        <v>189.12221177526214</v>
      </c>
    </row>
    <row r="13" spans="1:31" ht="15.75" customHeight="1">
      <c r="A13" s="2182"/>
      <c r="B13" s="2160"/>
      <c r="C13" s="2160"/>
      <c r="D13" s="2160"/>
      <c r="E13" s="2160"/>
      <c r="F13" s="2160" t="s">
        <v>229</v>
      </c>
      <c r="G13" s="2160"/>
      <c r="H13" s="2160"/>
      <c r="I13" s="2160"/>
      <c r="J13" s="2160" t="s">
        <v>229</v>
      </c>
      <c r="K13" s="2160"/>
      <c r="L13" s="2160"/>
      <c r="M13" s="2160"/>
      <c r="N13" s="2208"/>
      <c r="O13" s="2207"/>
      <c r="P13" s="2207"/>
      <c r="Q13" s="2207"/>
      <c r="R13" s="2210"/>
      <c r="S13" s="2210"/>
      <c r="T13" s="2210"/>
      <c r="U13" s="2214"/>
      <c r="V13" s="2211" t="s">
        <v>229</v>
      </c>
      <c r="W13" s="2211"/>
      <c r="X13" s="2211"/>
      <c r="Y13" s="2211"/>
      <c r="Z13" s="338"/>
      <c r="AA13" s="2223"/>
      <c r="AB13" s="303" t="s">
        <v>244</v>
      </c>
      <c r="AC13" s="303">
        <v>300</v>
      </c>
      <c r="AD13" s="334">
        <f>'Labor Results Matrix'!$L$185*'Labor Adjustment'!$B$5</f>
        <v>187.55645176961485</v>
      </c>
      <c r="AE13" s="36">
        <f>AD13*Inflation!$D$3</f>
        <v>202.22215961999365</v>
      </c>
    </row>
    <row r="14" spans="1:31" ht="15.75" customHeight="1">
      <c r="A14" s="2182"/>
      <c r="B14" s="2160"/>
      <c r="C14" s="2160"/>
      <c r="D14" s="2160"/>
      <c r="E14" s="2160"/>
      <c r="F14" s="1480">
        <v>0.72</v>
      </c>
      <c r="G14" s="1480">
        <v>0.68</v>
      </c>
      <c r="H14" s="1480">
        <v>0.64</v>
      </c>
      <c r="I14" s="1480">
        <v>0.6</v>
      </c>
      <c r="J14" s="1480">
        <v>0.72</v>
      </c>
      <c r="K14" s="1480">
        <v>0.68</v>
      </c>
      <c r="L14" s="1480">
        <v>0.64</v>
      </c>
      <c r="M14" s="1480">
        <v>0.6</v>
      </c>
      <c r="N14" s="2208"/>
      <c r="O14" s="2207"/>
      <c r="P14" s="2207"/>
      <c r="Q14" s="2207"/>
      <c r="R14" s="2210"/>
      <c r="S14" s="2210"/>
      <c r="T14" s="2210"/>
      <c r="U14" s="2214"/>
      <c r="V14" s="1499">
        <v>0.72</v>
      </c>
      <c r="W14" s="1499">
        <v>0.68</v>
      </c>
      <c r="X14" s="1499">
        <v>0.64</v>
      </c>
      <c r="Y14" s="1499">
        <v>0.6</v>
      </c>
      <c r="Z14" s="338"/>
      <c r="AA14" s="2223"/>
      <c r="AB14" s="303" t="s">
        <v>242</v>
      </c>
      <c r="AC14" s="303">
        <v>300</v>
      </c>
      <c r="AD14" s="334">
        <f>'Labor Results Matrix'!$L$186*'Labor Adjustment'!$B$5</f>
        <v>181.86686985520473</v>
      </c>
      <c r="AE14" s="36">
        <f>AD14*Inflation!$D$3</f>
        <v>196.08768900482033</v>
      </c>
    </row>
    <row r="15" spans="1:31" ht="15.6">
      <c r="A15" s="2182"/>
      <c r="B15" s="8">
        <v>50</v>
      </c>
      <c r="C15" s="8">
        <v>0.75</v>
      </c>
      <c r="D15" s="6">
        <f>(($B15*'Equipment Results Matrix'!$R$267)+($C15*'Equipment Results Matrix'!$R$268)+'Equipment Results Matrix'!$R$270+'Equipment Results Matrix'!$T$274)*(1+'Equipment Results Matrix'!$T$276)</f>
        <v>31439.974169999976</v>
      </c>
      <c r="E15" s="44">
        <f>D15*Inflation!$D$3</f>
        <v>33898.377875392391</v>
      </c>
      <c r="F15" s="6">
        <f>(($B15*'Equipment Results Matrix'!$R$267)+(F$5*'Equipment Results Matrix'!$R$268)+'Equipment Results Matrix'!$R$270+'Equipment Results Matrix'!$T$274)*(1+'Equipment Results Matrix'!$T$276)</f>
        <v>38651.852395200003</v>
      </c>
      <c r="G15" s="6">
        <f>(($B15*'Equipment Results Matrix'!$R$267)+(G$5*'Equipment Results Matrix'!$R$268)+'Equipment Results Matrix'!$R$270+'Equipment Results Matrix'!$T$274)*(1+'Equipment Results Matrix'!$T$276)</f>
        <v>48267.690028799989</v>
      </c>
      <c r="H15" s="6" t="s">
        <v>35</v>
      </c>
      <c r="I15" s="6" t="s">
        <v>35</v>
      </c>
      <c r="J15" s="43">
        <f>F15*Inflation!$D$3</f>
        <v>41674.178578893574</v>
      </c>
      <c r="K15" s="43">
        <f>G15*Inflation!$D$3</f>
        <v>52041.912850228422</v>
      </c>
      <c r="L15" s="42" t="s">
        <v>35</v>
      </c>
      <c r="M15" s="42" t="s">
        <v>35</v>
      </c>
      <c r="N15" s="332">
        <f>$AE$9</f>
        <v>295.74310892974461</v>
      </c>
      <c r="O15" s="333">
        <v>0.05</v>
      </c>
      <c r="P15" s="1477">
        <v>23</v>
      </c>
      <c r="Q15" s="341">
        <f>P15/3</f>
        <v>7.666666666666667</v>
      </c>
      <c r="R15" s="334">
        <f>((1+$O15)^Q15-1)/($O15*(1+$O15)^Q15)</f>
        <v>6.2412587657030576</v>
      </c>
      <c r="S15" s="36">
        <f>((1+$O15)^P15-1)/($O15*(1+$O15)^P15)</f>
        <v>13.488573884064344</v>
      </c>
      <c r="T15" s="36">
        <f>R15/S15</f>
        <v>0.4627070896706581</v>
      </c>
      <c r="U15" s="334">
        <f>(N15+E15)*T15</f>
        <v>15821.862204502075</v>
      </c>
      <c r="V15" s="335">
        <f>$U15+$N15+J15</f>
        <v>57791.783892325395</v>
      </c>
      <c r="W15" s="335">
        <f>$U15+$N15+K15</f>
        <v>68159.518163660236</v>
      </c>
      <c r="X15" s="336" t="s">
        <v>35</v>
      </c>
      <c r="Y15" s="336" t="s">
        <v>35</v>
      </c>
      <c r="Z15" s="338"/>
    </row>
    <row r="16" spans="1:31" ht="39" customHeight="1">
      <c r="A16" s="2182"/>
      <c r="B16" s="8">
        <v>100</v>
      </c>
      <c r="C16" s="8">
        <v>0.72</v>
      </c>
      <c r="D16" s="6">
        <f>(($B16*'Equipment Results Matrix'!$R$267)+($C16*'Equipment Results Matrix'!$R$268)+'Equipment Results Matrix'!$R$270+'Equipment Results Matrix'!$T$274)*(1+'Equipment Results Matrix'!$T$276)</f>
        <v>53729.402395200006</v>
      </c>
      <c r="E16" s="44">
        <f>D16*Inflation!$D$3</f>
        <v>57930.695984776765</v>
      </c>
      <c r="F16" s="6">
        <f>(($B16*'Equipment Results Matrix'!$R$267)+(F$5*'Equipment Results Matrix'!$R$268)+'Equipment Results Matrix'!$R$270+'Equipment Results Matrix'!$T$274)*(1+'Equipment Results Matrix'!$T$276)</f>
        <v>53729.402395200006</v>
      </c>
      <c r="G16" s="6">
        <f>(($B16*'Equipment Results Matrix'!$R$267)+(G$5*'Equipment Results Matrix'!$R$268)+'Equipment Results Matrix'!$R$270+'Equipment Results Matrix'!$T$274)*(1+'Equipment Results Matrix'!$T$276)</f>
        <v>63345.240028799984</v>
      </c>
      <c r="H16" s="6" t="s">
        <v>35</v>
      </c>
      <c r="I16" s="6" t="s">
        <v>35</v>
      </c>
      <c r="J16" s="43">
        <f>F16*Inflation!$D$3</f>
        <v>57930.695984776765</v>
      </c>
      <c r="K16" s="43">
        <f>G16*Inflation!$D$3</f>
        <v>68298.430256111606</v>
      </c>
      <c r="L16" s="42" t="s">
        <v>35</v>
      </c>
      <c r="M16" s="42" t="s">
        <v>35</v>
      </c>
      <c r="N16" s="332">
        <f>$AE$9</f>
        <v>295.74310892974461</v>
      </c>
      <c r="O16" s="333">
        <v>0.05</v>
      </c>
      <c r="P16" s="1477">
        <v>23</v>
      </c>
      <c r="Q16" s="341">
        <f t="shared" ref="Q16:Q19" si="4">P16/3</f>
        <v>7.666666666666667</v>
      </c>
      <c r="R16" s="334">
        <f t="shared" ref="R16:R19" si="5">((1+$O16)^Q16-1)/($O16*(1+$O16)^Q16)</f>
        <v>6.2412587657030576</v>
      </c>
      <c r="S16" s="36">
        <f t="shared" ref="S16:S19" si="6">((1+$O16)^P16-1)/($O16*(1+$O16)^P16)</f>
        <v>13.488573884064344</v>
      </c>
      <c r="T16" s="36">
        <f t="shared" ref="T16:T19" si="7">R16/S16</f>
        <v>0.4627070896706581</v>
      </c>
      <c r="U16" s="334">
        <f>(N16+E16)*T16</f>
        <v>26941.786174934772</v>
      </c>
      <c r="V16" s="335">
        <f>$U16+$N16+J16</f>
        <v>85168.225268641283</v>
      </c>
      <c r="W16" s="335">
        <f>$U16+$N16+K16</f>
        <v>95535.959539976117</v>
      </c>
      <c r="X16" s="336" t="s">
        <v>35</v>
      </c>
      <c r="Y16" s="336" t="s">
        <v>35</v>
      </c>
      <c r="Z16" s="339"/>
    </row>
    <row r="17" spans="1:26" ht="23.25" customHeight="1">
      <c r="A17" s="2182"/>
      <c r="B17" s="8">
        <v>150</v>
      </c>
      <c r="C17" s="8">
        <v>0.66</v>
      </c>
      <c r="D17" s="6">
        <f>(($B17*'Equipment Results Matrix'!$R$267)+($C17*'Equipment Results Matrix'!$R$268)+'Equipment Results Matrix'!$R$270+'Equipment Results Matrix'!$T$274)*(1+'Equipment Results Matrix'!$T$276)</f>
        <v>83230.708845599991</v>
      </c>
      <c r="E17" s="44">
        <f>D17*Inflation!$D$3</f>
        <v>89738.814797662242</v>
      </c>
      <c r="F17" s="6" t="s">
        <v>35</v>
      </c>
      <c r="G17" s="6" t="s">
        <v>35</v>
      </c>
      <c r="H17" s="6" t="s">
        <v>35</v>
      </c>
      <c r="I17" s="6" t="s">
        <v>35</v>
      </c>
      <c r="J17" s="42" t="s">
        <v>35</v>
      </c>
      <c r="K17" s="42" t="s">
        <v>35</v>
      </c>
      <c r="L17" s="42" t="s">
        <v>35</v>
      </c>
      <c r="M17" s="42" t="s">
        <v>35</v>
      </c>
      <c r="N17" s="332">
        <f>$AE$10</f>
        <v>233.02465630359515</v>
      </c>
      <c r="O17" s="333">
        <v>0.05</v>
      </c>
      <c r="P17" s="1477">
        <v>23</v>
      </c>
      <c r="Q17" s="341">
        <f t="shared" si="4"/>
        <v>7.666666666666667</v>
      </c>
      <c r="R17" s="334">
        <f t="shared" si="5"/>
        <v>6.2412587657030576</v>
      </c>
      <c r="S17" s="36">
        <f t="shared" si="6"/>
        <v>13.488573884064344</v>
      </c>
      <c r="T17" s="36">
        <f t="shared" si="7"/>
        <v>0.4627070896706581</v>
      </c>
      <c r="U17" s="334">
        <f>(N17+E17)*T17</f>
        <v>41630.607986060226</v>
      </c>
      <c r="V17" s="336" t="s">
        <v>35</v>
      </c>
      <c r="W17" s="336" t="s">
        <v>35</v>
      </c>
      <c r="X17" s="336" t="s">
        <v>35</v>
      </c>
      <c r="Y17" s="336" t="s">
        <v>35</v>
      </c>
      <c r="Z17" s="339"/>
    </row>
    <row r="18" spans="1:26" ht="15.6">
      <c r="A18" s="2182"/>
      <c r="B18" s="8">
        <v>200</v>
      </c>
      <c r="C18" s="8">
        <v>0.66</v>
      </c>
      <c r="D18" s="6">
        <f>(($B18*'Equipment Results Matrix'!$R$267)+($C18*'Equipment Results Matrix'!$R$268)+'Equipment Results Matrix'!$R$270+'Equipment Results Matrix'!$T$274)*(1+'Equipment Results Matrix'!$T$276)</f>
        <v>98308.258845599994</v>
      </c>
      <c r="E18" s="44">
        <f>D18*Inflation!$D$3</f>
        <v>105995.33220354543</v>
      </c>
      <c r="F18" s="6" t="s">
        <v>35</v>
      </c>
      <c r="G18" s="6" t="s">
        <v>35</v>
      </c>
      <c r="H18" s="6">
        <f>(($B18*'Equipment Results Matrix'!$R$267)+(H$5*'Equipment Results Matrix'!$R$268)+'Equipment Results Matrix'!$R$270+'Equipment Results Matrix'!$T$274)*(1+'Equipment Results Matrix'!$T$276)</f>
        <v>103116.17766239999</v>
      </c>
      <c r="I18" s="6">
        <f>(($B18*'Equipment Results Matrix'!$R$267)+(I$5*'Equipment Results Matrix'!$R$268)+'Equipment Results Matrix'!$R$270+'Equipment Results Matrix'!$T$274)*(1+'Equipment Results Matrix'!$T$276)</f>
        <v>112732.015296</v>
      </c>
      <c r="J18" s="42" t="s">
        <v>35</v>
      </c>
      <c r="K18" s="42" t="s">
        <v>35</v>
      </c>
      <c r="L18" s="43">
        <f>H18*Inflation!$D$3</f>
        <v>111179.19933921286</v>
      </c>
      <c r="M18" s="43">
        <f>I18*Inflation!$D$3</f>
        <v>121546.93361054774</v>
      </c>
      <c r="N18" s="332">
        <f>$AE$10</f>
        <v>233.02465630359515</v>
      </c>
      <c r="O18" s="333">
        <v>0.05</v>
      </c>
      <c r="P18" s="1477">
        <v>23</v>
      </c>
      <c r="Q18" s="341">
        <f t="shared" si="4"/>
        <v>7.666666666666667</v>
      </c>
      <c r="R18" s="334">
        <f t="shared" si="5"/>
        <v>6.2412587657030576</v>
      </c>
      <c r="S18" s="36">
        <f t="shared" si="6"/>
        <v>13.488573884064344</v>
      </c>
      <c r="T18" s="36">
        <f t="shared" si="7"/>
        <v>0.4627070896706581</v>
      </c>
      <c r="U18" s="334">
        <f>(N18+E18)*T18</f>
        <v>49152.613843116829</v>
      </c>
      <c r="V18" s="336" t="s">
        <v>35</v>
      </c>
      <c r="W18" s="336" t="s">
        <v>35</v>
      </c>
      <c r="X18" s="335">
        <f>$U18+$N18+L18</f>
        <v>160564.83783863328</v>
      </c>
      <c r="Y18" s="335">
        <f>$U18+$N18+M18</f>
        <v>170932.57210996817</v>
      </c>
      <c r="Z18" s="339"/>
    </row>
    <row r="19" spans="1:26" ht="15.75" customHeight="1">
      <c r="A19" s="2182"/>
      <c r="B19" s="47">
        <v>400</v>
      </c>
      <c r="C19" s="8">
        <v>0.61</v>
      </c>
      <c r="D19" s="6">
        <f>(($B19*'Equipment Results Matrix'!$R$267)+($C19*'Equipment Results Matrix'!$R$268)+'Equipment Results Matrix'!$R$270+'Equipment Results Matrix'!$T$274)*(1+'Equipment Results Matrix'!$T$276)</f>
        <v>170638.25588759998</v>
      </c>
      <c r="E19" s="44">
        <f>D19*Inflation!$D$3</f>
        <v>183981.06966624677</v>
      </c>
      <c r="F19" s="6" t="s">
        <v>35</v>
      </c>
      <c r="G19" s="6" t="s">
        <v>35</v>
      </c>
      <c r="H19" s="6" t="s">
        <v>35</v>
      </c>
      <c r="I19" s="6">
        <f>(($B19*'Equipment Results Matrix'!$R$267)+(I$5*'Equipment Results Matrix'!$R$268)+'Equipment Results Matrix'!$R$270+'Equipment Results Matrix'!$T$274)*(1+'Equipment Results Matrix'!$T$276)</f>
        <v>173042.21529599998</v>
      </c>
      <c r="J19" s="42" t="s">
        <v>35</v>
      </c>
      <c r="K19" s="42" t="s">
        <v>35</v>
      </c>
      <c r="L19" s="42" t="s">
        <v>35</v>
      </c>
      <c r="M19" s="43">
        <f>I19*Inflation!$D$3</f>
        <v>186573.00323408048</v>
      </c>
      <c r="N19" s="332">
        <f>$AE$11</f>
        <v>196.21348078378611</v>
      </c>
      <c r="O19" s="333">
        <v>0.05</v>
      </c>
      <c r="P19" s="1477">
        <v>23</v>
      </c>
      <c r="Q19" s="341">
        <f t="shared" si="4"/>
        <v>7.666666666666667</v>
      </c>
      <c r="R19" s="334">
        <f t="shared" si="5"/>
        <v>6.2412587657030576</v>
      </c>
      <c r="S19" s="36">
        <f t="shared" si="6"/>
        <v>13.488573884064344</v>
      </c>
      <c r="T19" s="36">
        <f t="shared" si="7"/>
        <v>0.4627070896706581</v>
      </c>
      <c r="U19" s="334">
        <f>(N19+E19)*T19</f>
        <v>85220.13466841125</v>
      </c>
      <c r="V19" s="336" t="s">
        <v>35</v>
      </c>
      <c r="W19" s="336" t="s">
        <v>35</v>
      </c>
      <c r="X19" s="336" t="s">
        <v>35</v>
      </c>
      <c r="Y19" s="335">
        <f>$U19+$N19+M19</f>
        <v>271989.35138327553</v>
      </c>
      <c r="Z19" s="63"/>
    </row>
    <row r="20" spans="1:26" ht="15.6">
      <c r="B20" s="10"/>
      <c r="C20" s="10"/>
      <c r="D20" s="10"/>
      <c r="E20" s="10"/>
      <c r="F20" s="11"/>
      <c r="G20" s="11"/>
      <c r="H20" s="11"/>
      <c r="I20" s="11"/>
      <c r="J20" s="11"/>
      <c r="K20" s="11"/>
      <c r="L20" s="11"/>
      <c r="M20" s="11"/>
      <c r="N20" s="340"/>
      <c r="O20" s="63"/>
      <c r="P20" s="63"/>
      <c r="Q20" s="63"/>
      <c r="R20" s="63"/>
      <c r="S20" s="63"/>
      <c r="T20" s="63"/>
      <c r="U20" s="63"/>
      <c r="V20" s="63"/>
      <c r="W20" s="63"/>
      <c r="X20" s="63"/>
      <c r="Y20" s="63"/>
      <c r="Z20" s="63"/>
    </row>
    <row r="21" spans="1:26" ht="15.75" customHeight="1">
      <c r="A21" s="2186" t="s">
        <v>49</v>
      </c>
      <c r="B21" s="2186"/>
      <c r="C21" s="2186"/>
      <c r="D21" s="2186"/>
      <c r="E21" s="2186"/>
      <c r="F21" s="2186"/>
      <c r="G21" s="2186"/>
      <c r="H21" s="2186"/>
      <c r="I21" s="2186"/>
      <c r="J21" s="2186"/>
      <c r="K21" s="2186"/>
      <c r="L21" s="2186"/>
      <c r="M21" s="2186"/>
      <c r="N21" s="2186"/>
      <c r="O21" s="2186"/>
      <c r="P21" s="2186"/>
      <c r="Q21" s="2186"/>
      <c r="R21" s="2186"/>
      <c r="S21" s="2186"/>
      <c r="T21" s="2186"/>
      <c r="U21" s="2186"/>
      <c r="V21" s="2186"/>
      <c r="W21" s="2186"/>
      <c r="X21" s="2186"/>
      <c r="Y21" s="2186"/>
      <c r="Z21" s="63"/>
    </row>
    <row r="22" spans="1:26" ht="15.75" customHeight="1">
      <c r="A22" s="2182" t="s">
        <v>154</v>
      </c>
      <c r="B22" s="2160" t="s">
        <v>31</v>
      </c>
      <c r="C22" s="2160" t="s">
        <v>37</v>
      </c>
      <c r="D22" s="2160" t="s">
        <v>44</v>
      </c>
      <c r="E22" s="2160" t="s">
        <v>113</v>
      </c>
      <c r="F22" s="2160" t="s">
        <v>423</v>
      </c>
      <c r="G22" s="2160"/>
      <c r="H22" s="2160"/>
      <c r="I22" s="2160"/>
      <c r="J22" s="2160" t="s">
        <v>425</v>
      </c>
      <c r="K22" s="2160"/>
      <c r="L22" s="2160"/>
      <c r="M22" s="2160"/>
      <c r="N22" s="2208" t="s">
        <v>733</v>
      </c>
      <c r="O22" s="2207" t="s">
        <v>621</v>
      </c>
      <c r="P22" s="2207" t="s">
        <v>622</v>
      </c>
      <c r="Q22" s="2207" t="s">
        <v>261</v>
      </c>
      <c r="R22" s="2210" t="s">
        <v>623</v>
      </c>
      <c r="S22" s="2210" t="s">
        <v>624</v>
      </c>
      <c r="T22" s="2210" t="s">
        <v>629</v>
      </c>
      <c r="U22" s="2214" t="s">
        <v>625</v>
      </c>
      <c r="V22" s="2214" t="s">
        <v>765</v>
      </c>
      <c r="W22" s="2214"/>
      <c r="X22" s="2214"/>
      <c r="Y22" s="2214"/>
      <c r="Z22" s="63"/>
    </row>
    <row r="23" spans="1:26" ht="15.75" customHeight="1">
      <c r="A23" s="2182"/>
      <c r="B23" s="2160"/>
      <c r="C23" s="2160"/>
      <c r="D23" s="2160"/>
      <c r="E23" s="2160"/>
      <c r="F23" s="2160" t="s">
        <v>229</v>
      </c>
      <c r="G23" s="2160"/>
      <c r="H23" s="2160"/>
      <c r="I23" s="2160"/>
      <c r="J23" s="2160" t="s">
        <v>229</v>
      </c>
      <c r="K23" s="2160"/>
      <c r="L23" s="2160"/>
      <c r="M23" s="2160"/>
      <c r="N23" s="2208"/>
      <c r="O23" s="2207"/>
      <c r="P23" s="2207"/>
      <c r="Q23" s="2207"/>
      <c r="R23" s="2210"/>
      <c r="S23" s="2210"/>
      <c r="T23" s="2210"/>
      <c r="U23" s="2214"/>
      <c r="V23" s="2211" t="s">
        <v>229</v>
      </c>
      <c r="W23" s="2211"/>
      <c r="X23" s="2211"/>
      <c r="Y23" s="2211"/>
      <c r="Z23" s="63"/>
    </row>
    <row r="24" spans="1:26" ht="15.75" customHeight="1">
      <c r="A24" s="2182"/>
      <c r="B24" s="2160"/>
      <c r="C24" s="2160"/>
      <c r="D24" s="2160"/>
      <c r="E24" s="2160"/>
      <c r="F24" s="1480">
        <v>0.72</v>
      </c>
      <c r="G24" s="1480">
        <v>0.68</v>
      </c>
      <c r="H24" s="1480">
        <v>0.64</v>
      </c>
      <c r="I24" s="1480">
        <v>0.6</v>
      </c>
      <c r="J24" s="1480">
        <v>0.72</v>
      </c>
      <c r="K24" s="1480">
        <v>0.68</v>
      </c>
      <c r="L24" s="1480">
        <v>0.64</v>
      </c>
      <c r="M24" s="1480">
        <v>0.6</v>
      </c>
      <c r="N24" s="2208"/>
      <c r="O24" s="2207"/>
      <c r="P24" s="2207"/>
      <c r="Q24" s="2207"/>
      <c r="R24" s="2210"/>
      <c r="S24" s="2210"/>
      <c r="T24" s="2210"/>
      <c r="U24" s="2214"/>
      <c r="V24" s="1499">
        <v>0.72</v>
      </c>
      <c r="W24" s="1499">
        <v>0.68</v>
      </c>
      <c r="X24" s="1499">
        <v>0.64</v>
      </c>
      <c r="Y24" s="1499">
        <v>0.6</v>
      </c>
      <c r="Z24" s="63"/>
    </row>
    <row r="25" spans="1:26" ht="15.75" customHeight="1">
      <c r="A25" s="2182"/>
      <c r="B25" s="8">
        <v>50</v>
      </c>
      <c r="C25" s="8">
        <v>0.78</v>
      </c>
      <c r="D25" s="6">
        <f>(($B25*'Equipment Results Matrix'!$R$267)+($C25*'Equipment Results Matrix'!$R$268)+'Equipment Results Matrix'!$R$271+'Equipment Results Matrix'!$T$274)*(1+'Equipment Results Matrix'!$T$276)</f>
        <v>19049.260264799999</v>
      </c>
      <c r="E25" s="44">
        <f>D25*Inflation!$D$3</f>
        <v>20538.789860681623</v>
      </c>
      <c r="F25" s="6">
        <f>(($B25*'Equipment Results Matrix'!$R$267)+(F$5*'Equipment Results Matrix'!$R$268)+'Equipment Results Matrix'!$R$271+'Equipment Results Matrix'!$T$274)*(1+'Equipment Results Matrix'!$T$276)</f>
        <v>33473.016715200021</v>
      </c>
      <c r="G25" s="6">
        <f>(($B25*'Equipment Results Matrix'!$R$267)+(G$5*'Equipment Results Matrix'!$R$268)+'Equipment Results Matrix'!$R$271+'Equipment Results Matrix'!$T$274)*(1+'Equipment Results Matrix'!$T$276)</f>
        <v>43088.854348799985</v>
      </c>
      <c r="H25" s="6" t="s">
        <v>35</v>
      </c>
      <c r="I25" s="6" t="s">
        <v>35</v>
      </c>
      <c r="J25" s="43">
        <f>F25*Inflation!$D$3</f>
        <v>36090.391267683954</v>
      </c>
      <c r="K25" s="43">
        <f>G25*Inflation!$D$3</f>
        <v>46458.12553901878</v>
      </c>
      <c r="L25" s="42" t="s">
        <v>35</v>
      </c>
      <c r="M25" s="42" t="s">
        <v>35</v>
      </c>
      <c r="N25" s="332">
        <f>$AE$9</f>
        <v>295.74310892974461</v>
      </c>
      <c r="O25" s="333">
        <v>0.05</v>
      </c>
      <c r="P25" s="1477">
        <v>23</v>
      </c>
      <c r="Q25" s="341">
        <f>P25/3</f>
        <v>7.666666666666667</v>
      </c>
      <c r="R25" s="334">
        <f>((1+$O25)^Q25-1)/($O25*(1+$O25)^Q25)</f>
        <v>6.2412587657030576</v>
      </c>
      <c r="S25" s="36">
        <f>((1+$O25)^P25-1)/($O25*(1+$O25)^P25)</f>
        <v>13.488573884064344</v>
      </c>
      <c r="T25" s="36">
        <f>R25/S25</f>
        <v>0.4627070896706581</v>
      </c>
      <c r="U25" s="334">
        <f>(N25+E25)*T25</f>
        <v>9640.2861150162498</v>
      </c>
      <c r="V25" s="335">
        <f>$U25+(J25-$E25)</f>
        <v>25191.88752201858</v>
      </c>
      <c r="W25" s="335">
        <f>$U25+(K25-$E25)</f>
        <v>35559.621793353406</v>
      </c>
      <c r="X25" s="336" t="s">
        <v>35</v>
      </c>
      <c r="Y25" s="336" t="s">
        <v>35</v>
      </c>
      <c r="Z25" s="63"/>
    </row>
    <row r="26" spans="1:26" ht="15.6">
      <c r="A26" s="2182"/>
      <c r="B26" s="8">
        <v>100</v>
      </c>
      <c r="C26" s="8">
        <v>0.77500000000000002</v>
      </c>
      <c r="D26" s="6">
        <f>(($B26*'Equipment Results Matrix'!$R$267)+($C26*'Equipment Results Matrix'!$R$268)+'Equipment Results Matrix'!$R$271+'Equipment Results Matrix'!$T$274)*(1+'Equipment Results Matrix'!$T$276)</f>
        <v>35328.789969000012</v>
      </c>
      <c r="E26" s="44">
        <f>D26*Inflation!$D$3</f>
        <v>38091.27405048169</v>
      </c>
      <c r="F26" s="6">
        <f>(($B26*'Equipment Results Matrix'!$R$267)+(F$5*'Equipment Results Matrix'!$R$268)+'Equipment Results Matrix'!$R$271+'Equipment Results Matrix'!$T$274)*(1+'Equipment Results Matrix'!$T$276)</f>
        <v>48550.566715200002</v>
      </c>
      <c r="G26" s="6">
        <f>(($B26*'Equipment Results Matrix'!$R$267)+(G$5*'Equipment Results Matrix'!$R$268)+'Equipment Results Matrix'!$R$271+'Equipment Results Matrix'!$T$274)*(1+'Equipment Results Matrix'!$T$276)</f>
        <v>58166.404348799988</v>
      </c>
      <c r="H26" s="6" t="s">
        <v>35</v>
      </c>
      <c r="I26" s="6" t="s">
        <v>35</v>
      </c>
      <c r="J26" s="43">
        <f>F26*Inflation!$D$3</f>
        <v>52346.908673567123</v>
      </c>
      <c r="K26" s="43">
        <f>G26*Inflation!$D$3</f>
        <v>62714.642944901971</v>
      </c>
      <c r="L26" s="42" t="s">
        <v>35</v>
      </c>
      <c r="M26" s="42" t="s">
        <v>35</v>
      </c>
      <c r="N26" s="332">
        <f>$AE$9</f>
        <v>295.74310892974461</v>
      </c>
      <c r="O26" s="333">
        <v>0.05</v>
      </c>
      <c r="P26" s="1477">
        <v>23</v>
      </c>
      <c r="Q26" s="341">
        <f t="shared" ref="Q26:Q29" si="8">P26/3</f>
        <v>7.666666666666667</v>
      </c>
      <c r="R26" s="334">
        <f t="shared" ref="R26:R29" si="9">((1+$O26)^Q26-1)/($O26*(1+$O26)^Q26)</f>
        <v>6.2412587657030576</v>
      </c>
      <c r="S26" s="36">
        <f t="shared" ref="S26:S29" si="10">((1+$O26)^P26-1)/($O26*(1+$O26)^P26)</f>
        <v>13.488573884064344</v>
      </c>
      <c r="T26" s="36">
        <f t="shared" ref="T26:T29" si="11">R26/S26</f>
        <v>0.4627070896706581</v>
      </c>
      <c r="U26" s="334">
        <f>(N26+E26)*T26</f>
        <v>17761.944990968877</v>
      </c>
      <c r="V26" s="335">
        <f>$U26+(J26-$E26)</f>
        <v>32017.57961405431</v>
      </c>
      <c r="W26" s="335">
        <f>$U26+(K26-$E26)</f>
        <v>42385.313885389158</v>
      </c>
      <c r="X26" s="336" t="s">
        <v>35</v>
      </c>
      <c r="Y26" s="336" t="s">
        <v>35</v>
      </c>
      <c r="Z26" s="63"/>
    </row>
    <row r="27" spans="1:26" ht="15.6">
      <c r="A27" s="2182"/>
      <c r="B27" s="8">
        <v>150</v>
      </c>
      <c r="C27" s="8">
        <v>0.68</v>
      </c>
      <c r="D27" s="6">
        <f>(($B27*'Equipment Results Matrix'!$R$267)+($C27*'Equipment Results Matrix'!$R$268)+'Equipment Results Matrix'!$R$271+'Equipment Results Matrix'!$T$274)*(1+'Equipment Results Matrix'!$T$276)</f>
        <v>73243.954348799991</v>
      </c>
      <c r="E27" s="44">
        <f>D27*Inflation!$D$3</f>
        <v>78971.160350785169</v>
      </c>
      <c r="F27" s="8" t="s">
        <v>35</v>
      </c>
      <c r="G27" s="8" t="s">
        <v>35</v>
      </c>
      <c r="H27" s="6" t="s">
        <v>35</v>
      </c>
      <c r="I27" s="6" t="s">
        <v>35</v>
      </c>
      <c r="J27" s="42" t="s">
        <v>35</v>
      </c>
      <c r="K27" s="42" t="s">
        <v>35</v>
      </c>
      <c r="L27" s="42" t="s">
        <v>35</v>
      </c>
      <c r="M27" s="42" t="s">
        <v>35</v>
      </c>
      <c r="N27" s="332">
        <f>$AE$10</f>
        <v>233.02465630359515</v>
      </c>
      <c r="O27" s="333">
        <v>0.05</v>
      </c>
      <c r="P27" s="1477">
        <v>23</v>
      </c>
      <c r="Q27" s="341">
        <f t="shared" si="8"/>
        <v>7.666666666666667</v>
      </c>
      <c r="R27" s="334">
        <f t="shared" si="9"/>
        <v>6.2412587657030576</v>
      </c>
      <c r="S27" s="36">
        <f t="shared" si="10"/>
        <v>13.488573884064344</v>
      </c>
      <c r="T27" s="36">
        <f t="shared" si="11"/>
        <v>0.4627070896706581</v>
      </c>
      <c r="U27" s="334">
        <f>(N27+E27)*T27</f>
        <v>36648.337934366413</v>
      </c>
      <c r="V27" s="336" t="s">
        <v>35</v>
      </c>
      <c r="W27" s="336" t="s">
        <v>35</v>
      </c>
      <c r="X27" s="336" t="s">
        <v>35</v>
      </c>
      <c r="Y27" s="336" t="s">
        <v>35</v>
      </c>
      <c r="Z27" s="63"/>
    </row>
    <row r="28" spans="1:26" ht="15.6">
      <c r="A28" s="2182"/>
      <c r="B28" s="8">
        <v>200</v>
      </c>
      <c r="C28" s="8">
        <v>0.68</v>
      </c>
      <c r="D28" s="6">
        <f>(($B28*'Equipment Results Matrix'!$R$267)+($C28*'Equipment Results Matrix'!$R$268)+'Equipment Results Matrix'!$R$271+'Equipment Results Matrix'!$T$274)*(1+'Equipment Results Matrix'!$T$276)</f>
        <v>88321.504348799979</v>
      </c>
      <c r="E28" s="44">
        <f>D28*Inflation!$D$3</f>
        <v>95227.677756668345</v>
      </c>
      <c r="F28" s="8" t="s">
        <v>35</v>
      </c>
      <c r="G28" s="8" t="s">
        <v>35</v>
      </c>
      <c r="H28" s="6">
        <f>(($B28*'Equipment Results Matrix'!$R$267)+(H$5*'Equipment Results Matrix'!$R$268)+'Equipment Results Matrix'!$R$271+'Equipment Results Matrix'!$T$274)*(1+'Equipment Results Matrix'!$T$276)</f>
        <v>97937.341982399987</v>
      </c>
      <c r="I28" s="6">
        <f>(($B28*'Equipment Results Matrix'!$R$267)+(I$5*'Equipment Results Matrix'!$R$268)+'Equipment Results Matrix'!$R$271+'Equipment Results Matrix'!$T$274)*(1+'Equipment Results Matrix'!$T$276)</f>
        <v>107553.17961599999</v>
      </c>
      <c r="J28" s="42" t="s">
        <v>35</v>
      </c>
      <c r="K28" s="42" t="s">
        <v>35</v>
      </c>
      <c r="L28" s="43">
        <f>H28*Inflation!$D$3</f>
        <v>105595.41202800322</v>
      </c>
      <c r="M28" s="43">
        <f>I28*Inflation!$D$3</f>
        <v>115963.1462993381</v>
      </c>
      <c r="N28" s="332">
        <f>$AE$10</f>
        <v>233.02465630359515</v>
      </c>
      <c r="O28" s="333">
        <v>0.05</v>
      </c>
      <c r="P28" s="1477">
        <v>23</v>
      </c>
      <c r="Q28" s="341">
        <f t="shared" si="8"/>
        <v>7.666666666666667</v>
      </c>
      <c r="R28" s="334">
        <f t="shared" si="9"/>
        <v>6.2412587657030576</v>
      </c>
      <c r="S28" s="36">
        <f t="shared" si="10"/>
        <v>13.488573884064344</v>
      </c>
      <c r="T28" s="36">
        <f t="shared" si="11"/>
        <v>0.4627070896706581</v>
      </c>
      <c r="U28" s="334">
        <f>(N28+E28)*T28</f>
        <v>44170.343791423016</v>
      </c>
      <c r="V28" s="336" t="s">
        <v>35</v>
      </c>
      <c r="W28" s="336" t="s">
        <v>35</v>
      </c>
      <c r="X28" s="335">
        <f>$U28+(L28-$E28)</f>
        <v>54538.078062757893</v>
      </c>
      <c r="Y28" s="335">
        <f>$U28+(M28-$E28)</f>
        <v>64905.81233409277</v>
      </c>
      <c r="Z28" s="63"/>
    </row>
    <row r="29" spans="1:26" ht="15.6">
      <c r="A29" s="2182"/>
      <c r="B29" s="47">
        <v>400</v>
      </c>
      <c r="C29" s="47">
        <v>0.62</v>
      </c>
      <c r="D29" s="6">
        <f>(($B29*'Equipment Results Matrix'!$R$267)+($C29*'Equipment Results Matrix'!$R$268)+'Equipment Results Matrix'!$R$271+'Equipment Results Matrix'!$T$274)*(1+'Equipment Results Matrix'!$T$276)</f>
        <v>163055.46079919999</v>
      </c>
      <c r="E29" s="44">
        <f>D29*Inflation!$D$3</f>
        <v>175805.34878720343</v>
      </c>
      <c r="F29" s="8" t="s">
        <v>35</v>
      </c>
      <c r="G29" s="8" t="s">
        <v>35</v>
      </c>
      <c r="H29" s="8" t="s">
        <v>35</v>
      </c>
      <c r="I29" s="6">
        <f>(($B29*'Equipment Results Matrix'!$R$267)+(I$5*'Equipment Results Matrix'!$R$268)+'Equipment Results Matrix'!$R$271+'Equipment Results Matrix'!$T$274)*(1+'Equipment Results Matrix'!$T$276)</f>
        <v>167863.37961599999</v>
      </c>
      <c r="J29" s="42" t="s">
        <v>35</v>
      </c>
      <c r="K29" s="42" t="s">
        <v>35</v>
      </c>
      <c r="L29" s="42" t="s">
        <v>35</v>
      </c>
      <c r="M29" s="43">
        <f>I29*Inflation!$D$3</f>
        <v>180989.21592287085</v>
      </c>
      <c r="N29" s="332">
        <f>$AE$11</f>
        <v>196.21348078378611</v>
      </c>
      <c r="O29" s="333">
        <v>0.05</v>
      </c>
      <c r="P29" s="1477">
        <v>23</v>
      </c>
      <c r="Q29" s="341">
        <f t="shared" si="8"/>
        <v>7.666666666666667</v>
      </c>
      <c r="R29" s="334">
        <f t="shared" si="9"/>
        <v>6.2412587657030576</v>
      </c>
      <c r="S29" s="36">
        <f t="shared" si="10"/>
        <v>13.488573884064344</v>
      </c>
      <c r="T29" s="36">
        <f t="shared" si="11"/>
        <v>0.4627070896706581</v>
      </c>
      <c r="U29" s="334">
        <f>(N29+E29)*T29</f>
        <v>81437.170654509464</v>
      </c>
      <c r="V29" s="336" t="s">
        <v>35</v>
      </c>
      <c r="W29" s="336" t="s">
        <v>35</v>
      </c>
      <c r="X29" s="336" t="s">
        <v>35</v>
      </c>
      <c r="Y29" s="335">
        <f>$U29+(M29-$E29)</f>
        <v>86621.037790176881</v>
      </c>
      <c r="Z29" s="63"/>
    </row>
    <row r="30" spans="1:26" ht="15.6">
      <c r="A30" s="2182"/>
      <c r="B30" s="2209" t="s">
        <v>153</v>
      </c>
      <c r="C30" s="2209"/>
      <c r="D30" s="2209"/>
      <c r="E30" s="2209"/>
      <c r="F30" s="2209"/>
      <c r="G30" s="2209"/>
      <c r="H30" s="2209"/>
      <c r="I30" s="2209"/>
      <c r="J30" s="2209"/>
      <c r="K30" s="2209"/>
      <c r="L30" s="2209"/>
      <c r="M30" s="2209"/>
      <c r="N30" s="2209"/>
      <c r="O30" s="2209"/>
      <c r="P30" s="2209"/>
      <c r="Q30" s="2209"/>
      <c r="R30" s="2209"/>
      <c r="S30" s="2209"/>
      <c r="T30" s="2209"/>
      <c r="U30" s="2209"/>
      <c r="V30" s="2209"/>
      <c r="W30" s="2209"/>
      <c r="X30" s="2209"/>
      <c r="Y30" s="2209"/>
      <c r="Z30" s="63"/>
    </row>
    <row r="31" spans="1:26" ht="15.75" customHeight="1">
      <c r="A31" s="2182"/>
      <c r="B31" s="2160" t="s">
        <v>31</v>
      </c>
      <c r="C31" s="2160" t="s">
        <v>37</v>
      </c>
      <c r="D31" s="2160" t="s">
        <v>44</v>
      </c>
      <c r="E31" s="2160" t="s">
        <v>113</v>
      </c>
      <c r="F31" s="2160" t="s">
        <v>423</v>
      </c>
      <c r="G31" s="2160"/>
      <c r="H31" s="2160"/>
      <c r="I31" s="2160"/>
      <c r="J31" s="2160" t="s">
        <v>425</v>
      </c>
      <c r="K31" s="2160"/>
      <c r="L31" s="2160"/>
      <c r="M31" s="2160"/>
      <c r="N31" s="2208" t="s">
        <v>733</v>
      </c>
      <c r="O31" s="2207" t="s">
        <v>621</v>
      </c>
      <c r="P31" s="2207" t="s">
        <v>622</v>
      </c>
      <c r="Q31" s="2207" t="s">
        <v>261</v>
      </c>
      <c r="R31" s="2210" t="s">
        <v>623</v>
      </c>
      <c r="S31" s="2210" t="s">
        <v>624</v>
      </c>
      <c r="T31" s="2210" t="s">
        <v>629</v>
      </c>
      <c r="U31" s="2214" t="s">
        <v>625</v>
      </c>
      <c r="V31" s="2214" t="s">
        <v>765</v>
      </c>
      <c r="W31" s="2214"/>
      <c r="X31" s="2214"/>
      <c r="Y31" s="2214"/>
      <c r="Z31" s="63"/>
    </row>
    <row r="32" spans="1:26" ht="15.75" customHeight="1">
      <c r="A32" s="2182"/>
      <c r="B32" s="2160"/>
      <c r="C32" s="2160"/>
      <c r="D32" s="2160"/>
      <c r="E32" s="2160"/>
      <c r="F32" s="2160" t="s">
        <v>229</v>
      </c>
      <c r="G32" s="2160"/>
      <c r="H32" s="2160"/>
      <c r="I32" s="2160"/>
      <c r="J32" s="2160" t="s">
        <v>229</v>
      </c>
      <c r="K32" s="2160"/>
      <c r="L32" s="2160"/>
      <c r="M32" s="2160"/>
      <c r="N32" s="2208"/>
      <c r="O32" s="2207"/>
      <c r="P32" s="2207"/>
      <c r="Q32" s="2207"/>
      <c r="R32" s="2210"/>
      <c r="S32" s="2210"/>
      <c r="T32" s="2210"/>
      <c r="U32" s="2214"/>
      <c r="V32" s="2211" t="s">
        <v>229</v>
      </c>
      <c r="W32" s="2211"/>
      <c r="X32" s="2211"/>
      <c r="Y32" s="2211"/>
      <c r="Z32" s="63"/>
    </row>
    <row r="33" spans="1:27" ht="15.75" customHeight="1">
      <c r="A33" s="2182"/>
      <c r="B33" s="2160"/>
      <c r="C33" s="2160"/>
      <c r="D33" s="2160"/>
      <c r="E33" s="2160"/>
      <c r="F33" s="1480">
        <v>0.72</v>
      </c>
      <c r="G33" s="1480">
        <v>0.68</v>
      </c>
      <c r="H33" s="1480">
        <v>0.64</v>
      </c>
      <c r="I33" s="1480">
        <v>0.6</v>
      </c>
      <c r="J33" s="1480">
        <v>0.72</v>
      </c>
      <c r="K33" s="1480">
        <v>0.68</v>
      </c>
      <c r="L33" s="1480">
        <v>0.64</v>
      </c>
      <c r="M33" s="1480">
        <v>0.6</v>
      </c>
      <c r="N33" s="2208"/>
      <c r="O33" s="2207"/>
      <c r="P33" s="2207"/>
      <c r="Q33" s="2207"/>
      <c r="R33" s="2210"/>
      <c r="S33" s="2210"/>
      <c r="T33" s="2210"/>
      <c r="U33" s="2214"/>
      <c r="V33" s="1499">
        <v>0.72</v>
      </c>
      <c r="W33" s="1499">
        <v>0.68</v>
      </c>
      <c r="X33" s="1499">
        <v>0.64</v>
      </c>
      <c r="Y33" s="1499">
        <v>0.6</v>
      </c>
      <c r="Z33" s="63"/>
      <c r="AA33" s="228"/>
    </row>
    <row r="34" spans="1:27" ht="15.6">
      <c r="A34" s="2182"/>
      <c r="B34" s="8">
        <v>50</v>
      </c>
      <c r="C34" s="8">
        <v>0.75</v>
      </c>
      <c r="D34" s="6">
        <f>(($B34*'Equipment Results Matrix'!$R$267)+($C34*'Equipment Results Matrix'!$R$268)+'Equipment Results Matrix'!$R$271+'Equipment Results Matrix'!$T$274)*(1+'Equipment Results Matrix'!$T$276)</f>
        <v>26261.138489999994</v>
      </c>
      <c r="E34" s="44">
        <f>D34*Inflation!$D$3</f>
        <v>28314.59056418277</v>
      </c>
      <c r="F34" s="6">
        <f>(($B34*'Equipment Results Matrix'!$R$267)+(F$5*'Equipment Results Matrix'!$R$268)+'Equipment Results Matrix'!$R$271+'Equipment Results Matrix'!$T$274)*(1+'Equipment Results Matrix'!$T$276)</f>
        <v>33473.016715200021</v>
      </c>
      <c r="G34" s="6">
        <f>(($B34*'Equipment Results Matrix'!$R$267)+(G$5*'Equipment Results Matrix'!$R$268)+'Equipment Results Matrix'!$R$271+'Equipment Results Matrix'!$T$274)*(1+'Equipment Results Matrix'!$T$276)</f>
        <v>43088.854348799985</v>
      </c>
      <c r="H34" s="6" t="s">
        <v>35</v>
      </c>
      <c r="I34" s="6" t="s">
        <v>35</v>
      </c>
      <c r="J34" s="43">
        <f>F34*Inflation!$D$3</f>
        <v>36090.391267683954</v>
      </c>
      <c r="K34" s="43">
        <f>G34*Inflation!$D$3</f>
        <v>46458.12553901878</v>
      </c>
      <c r="L34" s="42" t="s">
        <v>35</v>
      </c>
      <c r="M34" s="42" t="s">
        <v>35</v>
      </c>
      <c r="N34" s="332">
        <f>$AE$9</f>
        <v>295.74310892974461</v>
      </c>
      <c r="O34" s="333">
        <v>0.05</v>
      </c>
      <c r="P34" s="1477">
        <v>23</v>
      </c>
      <c r="Q34" s="341">
        <f>P34/3</f>
        <v>7.666666666666667</v>
      </c>
      <c r="R34" s="334">
        <f>((1+$O34)^Q34-1)/($O34*(1+$O34)^Q34)</f>
        <v>6.2412587657030576</v>
      </c>
      <c r="S34" s="36">
        <f>((1+$O34)^P34-1)/($O34*(1+$O34)^P34)</f>
        <v>13.488573884064344</v>
      </c>
      <c r="T34" s="36">
        <f>R34/S34</f>
        <v>0.4627070896706581</v>
      </c>
      <c r="U34" s="334">
        <f>(N34+E34)*T34</f>
        <v>13238.204228392322</v>
      </c>
      <c r="V34" s="335">
        <f>$U34+(J34-$E34)</f>
        <v>21014.004931893505</v>
      </c>
      <c r="W34" s="335">
        <f>$U34+(K34-$E34)</f>
        <v>31381.739203228331</v>
      </c>
      <c r="X34" s="336" t="s">
        <v>35</v>
      </c>
      <c r="Y34" s="336" t="s">
        <v>35</v>
      </c>
      <c r="Z34" s="63"/>
    </row>
    <row r="35" spans="1:27" ht="15.6">
      <c r="A35" s="2182"/>
      <c r="B35" s="8">
        <v>100</v>
      </c>
      <c r="C35" s="8">
        <v>0.72</v>
      </c>
      <c r="D35" s="6">
        <f>(($B35*'Equipment Results Matrix'!$R$267)+($C35*'Equipment Results Matrix'!$R$268)+'Equipment Results Matrix'!$R$271+'Equipment Results Matrix'!$T$274)*(1+'Equipment Results Matrix'!$T$276)</f>
        <v>48550.566715200002</v>
      </c>
      <c r="E35" s="44">
        <f>D35*Inflation!$D$3</f>
        <v>52346.908673567123</v>
      </c>
      <c r="F35" s="6">
        <f>(($B35*'Equipment Results Matrix'!$R$267)+(F$5*'Equipment Results Matrix'!$R$268)+'Equipment Results Matrix'!$R$271+'Equipment Results Matrix'!$T$274)*(1+'Equipment Results Matrix'!$T$276)</f>
        <v>48550.566715200002</v>
      </c>
      <c r="G35" s="6">
        <f>(($B35*'Equipment Results Matrix'!$R$267)+(G$5*'Equipment Results Matrix'!$R$268)+'Equipment Results Matrix'!$R$271+'Equipment Results Matrix'!$T$274)*(1+'Equipment Results Matrix'!$T$276)</f>
        <v>58166.404348799988</v>
      </c>
      <c r="H35" s="6" t="s">
        <v>35</v>
      </c>
      <c r="I35" s="6" t="s">
        <v>35</v>
      </c>
      <c r="J35" s="43">
        <f>F35*Inflation!$D$3</f>
        <v>52346.908673567123</v>
      </c>
      <c r="K35" s="43">
        <f>G35*Inflation!$D$3</f>
        <v>62714.642944901971</v>
      </c>
      <c r="L35" s="42" t="s">
        <v>35</v>
      </c>
      <c r="M35" s="42" t="s">
        <v>35</v>
      </c>
      <c r="N35" s="332">
        <f>$AE$9</f>
        <v>295.74310892974461</v>
      </c>
      <c r="O35" s="333">
        <v>0.05</v>
      </c>
      <c r="P35" s="1477">
        <v>23</v>
      </c>
      <c r="Q35" s="341">
        <f t="shared" ref="Q35:Q38" si="12">P35/3</f>
        <v>7.666666666666667</v>
      </c>
      <c r="R35" s="334">
        <f t="shared" ref="R35:R38" si="13">((1+$O35)^Q35-1)/($O35*(1+$O35)^Q35)</f>
        <v>6.2412587657030576</v>
      </c>
      <c r="S35" s="36">
        <f t="shared" ref="S35:S38" si="14">((1+$O35)^P35-1)/($O35*(1+$O35)^P35)</f>
        <v>13.488573884064344</v>
      </c>
      <c r="T35" s="36">
        <f t="shared" ref="T35:T38" si="15">R35/S35</f>
        <v>0.4627070896706581</v>
      </c>
      <c r="U35" s="334">
        <f>(N35+E35)*T35</f>
        <v>24358.128198825008</v>
      </c>
      <c r="V35" s="335">
        <f>$U35+(J35-$E35)</f>
        <v>24358.128198825008</v>
      </c>
      <c r="W35" s="335">
        <f>$U35+(K35-$E35)</f>
        <v>34725.86247015986</v>
      </c>
      <c r="X35" s="336" t="s">
        <v>35</v>
      </c>
      <c r="Y35" s="336" t="s">
        <v>35</v>
      </c>
      <c r="Z35" s="63"/>
    </row>
    <row r="36" spans="1:27" ht="15.6">
      <c r="A36" s="2182"/>
      <c r="B36" s="8">
        <v>150</v>
      </c>
      <c r="C36" s="8">
        <v>0.66</v>
      </c>
      <c r="D36" s="6">
        <f>(($B36*'Equipment Results Matrix'!$R$267)+($C36*'Equipment Results Matrix'!$R$268)+'Equipment Results Matrix'!$R$271+'Equipment Results Matrix'!$T$274)*(1+'Equipment Results Matrix'!$T$276)</f>
        <v>78051.873165599987</v>
      </c>
      <c r="E36" s="44">
        <f>D36*Inflation!$D$3</f>
        <v>84155.0274864526</v>
      </c>
      <c r="F36" s="6" t="s">
        <v>35</v>
      </c>
      <c r="G36" s="6" t="s">
        <v>35</v>
      </c>
      <c r="H36" s="6" t="s">
        <v>35</v>
      </c>
      <c r="I36" s="6" t="s">
        <v>35</v>
      </c>
      <c r="J36" s="42" t="s">
        <v>35</v>
      </c>
      <c r="K36" s="42" t="s">
        <v>35</v>
      </c>
      <c r="L36" s="42" t="s">
        <v>35</v>
      </c>
      <c r="M36" s="42" t="s">
        <v>35</v>
      </c>
      <c r="N36" s="332">
        <f>$AE$10</f>
        <v>233.02465630359515</v>
      </c>
      <c r="O36" s="333">
        <v>0.05</v>
      </c>
      <c r="P36" s="1477">
        <v>23</v>
      </c>
      <c r="Q36" s="341">
        <f t="shared" si="12"/>
        <v>7.666666666666667</v>
      </c>
      <c r="R36" s="334">
        <f t="shared" si="13"/>
        <v>6.2412587657030576</v>
      </c>
      <c r="S36" s="36">
        <f t="shared" si="14"/>
        <v>13.488573884064344</v>
      </c>
      <c r="T36" s="36">
        <f t="shared" si="15"/>
        <v>0.4627070896706581</v>
      </c>
      <c r="U36" s="334">
        <f>(N36+E36)*T36</f>
        <v>39046.950009950458</v>
      </c>
      <c r="V36" s="336" t="s">
        <v>35</v>
      </c>
      <c r="W36" s="336" t="s">
        <v>35</v>
      </c>
      <c r="X36" s="336" t="s">
        <v>35</v>
      </c>
      <c r="Y36" s="336" t="s">
        <v>35</v>
      </c>
      <c r="Z36" s="63"/>
    </row>
    <row r="37" spans="1:27" ht="15.6">
      <c r="A37" s="2182"/>
      <c r="B37" s="8">
        <v>200</v>
      </c>
      <c r="C37" s="8">
        <v>0.66</v>
      </c>
      <c r="D37" s="6">
        <f>(($B37*'Equipment Results Matrix'!$R$267)+($C37*'Equipment Results Matrix'!$R$268)+'Equipment Results Matrix'!$R$271+'Equipment Results Matrix'!$T$274)*(1+'Equipment Results Matrix'!$T$276)</f>
        <v>93129.42316559999</v>
      </c>
      <c r="E37" s="44">
        <f>D37*Inflation!$D$3</f>
        <v>100411.54489233579</v>
      </c>
      <c r="F37" s="6" t="s">
        <v>35</v>
      </c>
      <c r="G37" s="6" t="s">
        <v>35</v>
      </c>
      <c r="H37" s="6">
        <f>(($B37*'Equipment Results Matrix'!$R$267)+(H$5*'Equipment Results Matrix'!$R$268)+'Equipment Results Matrix'!$R$271+'Equipment Results Matrix'!$T$274)*(1+'Equipment Results Matrix'!$T$276)</f>
        <v>97937.341982399987</v>
      </c>
      <c r="I37" s="6">
        <f>(($B37*'Equipment Results Matrix'!$R$267)+(I$5*'Equipment Results Matrix'!$R$268)+'Equipment Results Matrix'!$R$271+'Equipment Results Matrix'!$T$274)*(1+'Equipment Results Matrix'!$T$276)</f>
        <v>107553.17961599999</v>
      </c>
      <c r="J37" s="42" t="s">
        <v>35</v>
      </c>
      <c r="K37" s="42" t="s">
        <v>35</v>
      </c>
      <c r="L37" s="43">
        <f>H37*Inflation!$D$3</f>
        <v>105595.41202800322</v>
      </c>
      <c r="M37" s="43">
        <f>I37*Inflation!$D$3</f>
        <v>115963.1462993381</v>
      </c>
      <c r="N37" s="332">
        <f>$AE$10</f>
        <v>233.02465630359515</v>
      </c>
      <c r="O37" s="333">
        <v>0.05</v>
      </c>
      <c r="P37" s="1477">
        <v>23</v>
      </c>
      <c r="Q37" s="341">
        <f t="shared" si="12"/>
        <v>7.666666666666667</v>
      </c>
      <c r="R37" s="334">
        <f t="shared" si="13"/>
        <v>6.2412587657030576</v>
      </c>
      <c r="S37" s="36">
        <f t="shared" si="14"/>
        <v>13.488573884064344</v>
      </c>
      <c r="T37" s="36">
        <f t="shared" si="15"/>
        <v>0.4627070896706581</v>
      </c>
      <c r="U37" s="334">
        <f>(N37+E37)*T37</f>
        <v>46568.955867007069</v>
      </c>
      <c r="V37" s="336" t="s">
        <v>35</v>
      </c>
      <c r="W37" s="336" t="s">
        <v>35</v>
      </c>
      <c r="X37" s="335">
        <f>$U37+(L37-$E37)</f>
        <v>51752.8230026745</v>
      </c>
      <c r="Y37" s="335">
        <f>$U37+(M37-$E37)</f>
        <v>62120.557274009378</v>
      </c>
      <c r="Z37" s="63"/>
    </row>
    <row r="38" spans="1:27" ht="15.6">
      <c r="A38" s="2182"/>
      <c r="B38" s="8">
        <v>400</v>
      </c>
      <c r="C38" s="8">
        <v>0.61</v>
      </c>
      <c r="D38" s="6">
        <f>(($B38*'Equipment Results Matrix'!$R$267)+($C38*'Equipment Results Matrix'!$R$268)+'Equipment Results Matrix'!$R$271+'Equipment Results Matrix'!$T$274)*(1+'Equipment Results Matrix'!$T$276)</f>
        <v>165459.42020760002</v>
      </c>
      <c r="E38" s="44">
        <f>D38*Inflation!$D$3</f>
        <v>178397.28235503717</v>
      </c>
      <c r="F38" s="6" t="s">
        <v>35</v>
      </c>
      <c r="G38" s="6" t="s">
        <v>35</v>
      </c>
      <c r="H38" s="6" t="s">
        <v>35</v>
      </c>
      <c r="I38" s="6">
        <f>(($B38*'Equipment Results Matrix'!$R$267)+(I$5*'Equipment Results Matrix'!$R$268)+'Equipment Results Matrix'!$R$271+'Equipment Results Matrix'!$T$274)*(1+'Equipment Results Matrix'!$T$276)</f>
        <v>167863.37961599999</v>
      </c>
      <c r="J38" s="42" t="s">
        <v>35</v>
      </c>
      <c r="K38" s="42" t="s">
        <v>35</v>
      </c>
      <c r="L38" s="42" t="s">
        <v>35</v>
      </c>
      <c r="M38" s="43">
        <f>I38*Inflation!$D$3</f>
        <v>180989.21592287085</v>
      </c>
      <c r="N38" s="332">
        <f>$AE$11</f>
        <v>196.21348078378611</v>
      </c>
      <c r="O38" s="333">
        <v>0.05</v>
      </c>
      <c r="P38" s="1477">
        <v>23</v>
      </c>
      <c r="Q38" s="341">
        <f t="shared" si="12"/>
        <v>7.666666666666667</v>
      </c>
      <c r="R38" s="334">
        <f t="shared" si="13"/>
        <v>6.2412587657030576</v>
      </c>
      <c r="S38" s="36">
        <f t="shared" si="14"/>
        <v>13.488573884064344</v>
      </c>
      <c r="T38" s="36">
        <f t="shared" si="15"/>
        <v>0.4627070896706581</v>
      </c>
      <c r="U38" s="334">
        <f>(N38+E38)*T38</f>
        <v>82636.476692301498</v>
      </c>
      <c r="V38" s="336" t="s">
        <v>35</v>
      </c>
      <c r="W38" s="336" t="s">
        <v>35</v>
      </c>
      <c r="X38" s="336" t="s">
        <v>35</v>
      </c>
      <c r="Y38" s="335">
        <f>$U38+(M38-$E38)</f>
        <v>85228.410260135177</v>
      </c>
      <c r="Z38" s="63"/>
    </row>
    <row r="39" spans="1:27" ht="16.2">
      <c r="B39" s="5"/>
      <c r="N39" s="340"/>
      <c r="O39" s="340"/>
      <c r="P39" s="340"/>
      <c r="Q39" s="340"/>
      <c r="R39" s="340"/>
      <c r="S39" s="340"/>
      <c r="T39" s="340"/>
      <c r="U39" s="63"/>
      <c r="V39" s="63"/>
      <c r="W39" s="63"/>
      <c r="X39" s="63"/>
      <c r="Y39" s="63"/>
      <c r="Z39" s="63"/>
    </row>
    <row r="40" spans="1:27" ht="15.75" customHeight="1">
      <c r="A40" s="2186" t="s">
        <v>45</v>
      </c>
      <c r="B40" s="2186"/>
      <c r="C40" s="2186"/>
      <c r="D40" s="2186"/>
      <c r="E40" s="2186"/>
      <c r="F40" s="2186"/>
      <c r="G40" s="2186"/>
      <c r="H40" s="2186"/>
      <c r="I40" s="2186"/>
      <c r="J40" s="2186"/>
      <c r="K40" s="2186"/>
      <c r="L40" s="2186"/>
      <c r="M40" s="2186"/>
      <c r="N40" s="2186"/>
      <c r="O40" s="2186"/>
      <c r="P40" s="2186"/>
      <c r="Q40" s="2186"/>
      <c r="R40" s="2186"/>
      <c r="S40" s="2186"/>
      <c r="T40" s="2186"/>
      <c r="U40" s="2186"/>
      <c r="V40" s="2186"/>
      <c r="W40" s="2186"/>
      <c r="X40" s="2186"/>
      <c r="Y40" s="2186"/>
      <c r="Z40" s="63"/>
    </row>
    <row r="41" spans="1:27" ht="15.75" customHeight="1">
      <c r="A41" s="2182" t="s">
        <v>156</v>
      </c>
      <c r="B41" s="2160" t="s">
        <v>31</v>
      </c>
      <c r="C41" s="2160" t="s">
        <v>37</v>
      </c>
      <c r="D41" s="2160" t="s">
        <v>44</v>
      </c>
      <c r="E41" s="2160" t="s">
        <v>113</v>
      </c>
      <c r="F41" s="2160" t="s">
        <v>423</v>
      </c>
      <c r="G41" s="2160"/>
      <c r="H41" s="2160"/>
      <c r="I41" s="2160"/>
      <c r="J41" s="2211" t="s">
        <v>425</v>
      </c>
      <c r="K41" s="2211"/>
      <c r="L41" s="2211"/>
      <c r="M41" s="2211"/>
      <c r="N41" s="2208" t="s">
        <v>733</v>
      </c>
      <c r="O41" s="2224" t="s">
        <v>621</v>
      </c>
      <c r="P41" s="2224" t="s">
        <v>622</v>
      </c>
      <c r="Q41" s="2224" t="s">
        <v>261</v>
      </c>
      <c r="R41" s="2210" t="s">
        <v>623</v>
      </c>
      <c r="S41" s="2210" t="s">
        <v>624</v>
      </c>
      <c r="T41" s="2210" t="s">
        <v>629</v>
      </c>
      <c r="U41" s="2225" t="s">
        <v>625</v>
      </c>
      <c r="V41" s="2225" t="s">
        <v>765</v>
      </c>
      <c r="W41" s="2225"/>
      <c r="X41" s="2225"/>
      <c r="Y41" s="2225"/>
      <c r="Z41" s="63"/>
    </row>
    <row r="42" spans="1:27" ht="15.75" customHeight="1">
      <c r="A42" s="2182"/>
      <c r="B42" s="2160"/>
      <c r="C42" s="2160"/>
      <c r="D42" s="2160"/>
      <c r="E42" s="2160"/>
      <c r="F42" s="2160" t="s">
        <v>229</v>
      </c>
      <c r="G42" s="2160"/>
      <c r="H42" s="2160"/>
      <c r="I42" s="2160"/>
      <c r="J42" s="2211" t="s">
        <v>229</v>
      </c>
      <c r="K42" s="2211"/>
      <c r="L42" s="2211"/>
      <c r="M42" s="2211"/>
      <c r="N42" s="2208"/>
      <c r="O42" s="2224"/>
      <c r="P42" s="2224"/>
      <c r="Q42" s="2224"/>
      <c r="R42" s="2210"/>
      <c r="S42" s="2210"/>
      <c r="T42" s="2210"/>
      <c r="U42" s="2225"/>
      <c r="V42" s="2211" t="s">
        <v>229</v>
      </c>
      <c r="W42" s="2211"/>
      <c r="X42" s="2211"/>
      <c r="Y42" s="2211"/>
      <c r="Z42" s="63"/>
    </row>
    <row r="43" spans="1:27" ht="15.75" customHeight="1">
      <c r="A43" s="2182"/>
      <c r="B43" s="2160"/>
      <c r="C43" s="2160"/>
      <c r="D43" s="2160"/>
      <c r="E43" s="2160"/>
      <c r="F43" s="1480" t="s">
        <v>22</v>
      </c>
      <c r="G43" s="1480">
        <v>0.6</v>
      </c>
      <c r="H43" s="1480">
        <v>0.57999999999999996</v>
      </c>
      <c r="I43" s="1498">
        <v>0.54</v>
      </c>
      <c r="J43" s="1499" t="s">
        <v>22</v>
      </c>
      <c r="K43" s="1499">
        <v>0.6</v>
      </c>
      <c r="L43" s="1499">
        <v>0.57999999999999996</v>
      </c>
      <c r="M43" s="1520">
        <v>0.54</v>
      </c>
      <c r="N43" s="2208"/>
      <c r="O43" s="2224"/>
      <c r="P43" s="2224"/>
      <c r="Q43" s="2224"/>
      <c r="R43" s="2210"/>
      <c r="S43" s="2210"/>
      <c r="T43" s="2210"/>
      <c r="U43" s="2225"/>
      <c r="V43" s="1499" t="s">
        <v>22</v>
      </c>
      <c r="W43" s="1499">
        <v>0.6</v>
      </c>
      <c r="X43" s="1499">
        <v>0.57999999999999996</v>
      </c>
      <c r="Y43" s="1520">
        <v>0.54</v>
      </c>
      <c r="Z43" s="63"/>
    </row>
    <row r="44" spans="1:27" ht="16.5" customHeight="1">
      <c r="A44" s="2182"/>
      <c r="B44" s="8">
        <v>100</v>
      </c>
      <c r="C44" s="8">
        <v>0.63400000000000001</v>
      </c>
      <c r="D44" s="6">
        <f>(($B44*'Equipment Results Matrix'!$R$267)+($C44*'Equipment Results Matrix'!$R$268)+'Equipment Results Matrix'!$R$269+'Equipment Results Matrix'!$T$274)*(1+'Equipment Results Matrix'!$T$276)</f>
        <v>52207.889227439977</v>
      </c>
      <c r="E44" s="44">
        <f>D44*Inflation!$D$3</f>
        <v>56290.210276225218</v>
      </c>
      <c r="F44" s="8" t="s">
        <v>35</v>
      </c>
      <c r="G44" s="6">
        <f>(($B44*'Equipment Results Matrix'!$R$267)+(G$43*'Equipment Results Matrix'!$R$268)+'Equipment Results Matrix'!$R$269+'Equipment Results Matrix'!$T$274)*(1+'Equipment Results Matrix'!$T$276)</f>
        <v>60381.351215999995</v>
      </c>
      <c r="H44" s="6">
        <f>(($B44*'Equipment Results Matrix'!$R$267)+(H$43*'Equipment Results Matrix'!$R$268)+'Equipment Results Matrix'!$R$269+'Equipment Results Matrix'!$T$274)*(1+'Equipment Results Matrix'!$T$276)</f>
        <v>65189.270032799985</v>
      </c>
      <c r="I44" s="6">
        <f>(($B44*'Equipment Results Matrix'!$R$267)+(I$43*'Equipment Results Matrix'!$R$268)+'Equipment Results Matrix'!$R$269+'Equipment Results Matrix'!$T$274)*(1+'Equipment Results Matrix'!$T$276)</f>
        <v>74805.10766639997</v>
      </c>
      <c r="J44" s="42" t="s">
        <v>35</v>
      </c>
      <c r="K44" s="43">
        <f>G44*Inflation!$D$3</f>
        <v>65102.784406859872</v>
      </c>
      <c r="L44" s="43">
        <f>H44*Inflation!$D$3</f>
        <v>70286.651542527296</v>
      </c>
      <c r="M44" s="43">
        <f>I44*Inflation!$D$3</f>
        <v>80654.385813862144</v>
      </c>
      <c r="N44" s="332">
        <f>$AE$9</f>
        <v>295.74310892974461</v>
      </c>
      <c r="O44" s="333">
        <v>0.05</v>
      </c>
      <c r="P44" s="1477">
        <v>23</v>
      </c>
      <c r="Q44" s="341">
        <f>P44/3</f>
        <v>7.666666666666667</v>
      </c>
      <c r="R44" s="334">
        <f>((1+$O44)^Q44-1)/($O44*(1+$O44)^Q44)</f>
        <v>6.2412587657030576</v>
      </c>
      <c r="S44" s="36">
        <f>((1+$O44)^P44-1)/($O44*(1+$O44)^P44)</f>
        <v>13.488573884064344</v>
      </c>
      <c r="T44" s="36">
        <f>R44/S44</f>
        <v>0.4627070896706581</v>
      </c>
      <c r="U44" s="334">
        <f>(N44+E44)*T44</f>
        <v>26182.721807084577</v>
      </c>
      <c r="V44" s="336" t="s">
        <v>35</v>
      </c>
      <c r="W44" s="335">
        <f>$U44+(K44-$E44)</f>
        <v>34995.295937719231</v>
      </c>
      <c r="X44" s="336" t="s">
        <v>35</v>
      </c>
      <c r="Y44" s="336" t="s">
        <v>35</v>
      </c>
      <c r="Z44" s="63"/>
    </row>
    <row r="45" spans="1:27" ht="15.6">
      <c r="A45" s="2182"/>
      <c r="B45" s="8">
        <v>150</v>
      </c>
      <c r="C45" s="8">
        <v>0.63400000000000001</v>
      </c>
      <c r="D45" s="6">
        <f>(($B45*'Equipment Results Matrix'!$R$267)+($C45*'Equipment Results Matrix'!$R$268)+'Equipment Results Matrix'!$R$269+'Equipment Results Matrix'!$T$274)*(1+'Equipment Results Matrix'!$T$276)</f>
        <v>67285.439227439972</v>
      </c>
      <c r="E45" s="44">
        <f>D45*Inflation!$D$3</f>
        <v>72546.727682108409</v>
      </c>
      <c r="F45" s="8" t="s">
        <v>35</v>
      </c>
      <c r="G45" s="6">
        <f>(($B45*'Equipment Results Matrix'!$R$267)+(G$5*'Equipment Results Matrix'!$R$268)+'Equipment Results Matrix'!$R$269+'Equipment Results Matrix'!$T$274)*(1+'Equipment Results Matrix'!$T$276)</f>
        <v>56227.225948799984</v>
      </c>
      <c r="H45" s="6">
        <f>(($B45*'Equipment Results Matrix'!$R$267)+(H$5*'Equipment Results Matrix'!$R$268)+'Equipment Results Matrix'!$R$269+'Equipment Results Matrix'!$T$274)*(1+'Equipment Results Matrix'!$T$276)</f>
        <v>65843.063582399976</v>
      </c>
      <c r="I45" s="6">
        <f>(($B45*'Equipment Results Matrix'!$R$267)+(I$5*'Equipment Results Matrix'!$R$268)+'Equipment Results Matrix'!$R$269+'Equipment Results Matrix'!$T$274)*(1+'Equipment Results Matrix'!$T$276)</f>
        <v>75458.901215999998</v>
      </c>
      <c r="J45" s="42" t="s">
        <v>35</v>
      </c>
      <c r="K45" s="43">
        <f>G45*Inflation!$D$3</f>
        <v>60623.833270073315</v>
      </c>
      <c r="L45" s="43">
        <f>H45*Inflation!$D$3</f>
        <v>70991.567541408178</v>
      </c>
      <c r="M45" s="43">
        <f>I45*Inflation!$D$3</f>
        <v>81359.30181274307</v>
      </c>
      <c r="N45" s="332">
        <f>$AE$9</f>
        <v>295.74310892974461</v>
      </c>
      <c r="O45" s="333">
        <v>0.05</v>
      </c>
      <c r="P45" s="1477">
        <v>23</v>
      </c>
      <c r="Q45" s="341">
        <f t="shared" ref="Q45:Q48" si="16">P45/3</f>
        <v>7.666666666666667</v>
      </c>
      <c r="R45" s="334">
        <f t="shared" ref="R45:R48" si="17">((1+$O45)^Q45-1)/($O45*(1+$O45)^Q45)</f>
        <v>6.2412587657030576</v>
      </c>
      <c r="S45" s="36">
        <f t="shared" ref="S45:S48" si="18">((1+$O45)^P45-1)/($O45*(1+$O45)^P45)</f>
        <v>13.488573884064344</v>
      </c>
      <c r="T45" s="36">
        <f t="shared" ref="T45:T48" si="19">R45/S45</f>
        <v>0.4627070896706581</v>
      </c>
      <c r="U45" s="334">
        <f>(N45+E45)*T45</f>
        <v>33704.727664141188</v>
      </c>
      <c r="V45" s="336" t="s">
        <v>35</v>
      </c>
      <c r="W45" s="335">
        <f>$U45+(K45-$E45)</f>
        <v>21781.833252106095</v>
      </c>
      <c r="X45" s="336" t="s">
        <v>35</v>
      </c>
      <c r="Y45" s="336" t="s">
        <v>35</v>
      </c>
      <c r="Z45" s="63"/>
    </row>
    <row r="46" spans="1:27" ht="15.6">
      <c r="A46" s="2182"/>
      <c r="B46" s="8">
        <v>200</v>
      </c>
      <c r="C46" s="8">
        <v>0.63400000000000001</v>
      </c>
      <c r="D46" s="6">
        <f>(($B46*'Equipment Results Matrix'!$R$267)+($C46*'Equipment Results Matrix'!$R$268)+'Equipment Results Matrix'!$R$269+'Equipment Results Matrix'!$T$274)*(1+'Equipment Results Matrix'!$T$276)</f>
        <v>82362.989227439975</v>
      </c>
      <c r="E46" s="44">
        <f>D46*Inflation!$D$3</f>
        <v>88803.2450879916</v>
      </c>
      <c r="F46" s="8" t="s">
        <v>35</v>
      </c>
      <c r="G46" s="6">
        <f>(($B46*'Equipment Results Matrix'!$R$267)+(G$5*'Equipment Results Matrix'!$R$268)+'Equipment Results Matrix'!$R$269+'Equipment Results Matrix'!$T$274)*(1+'Equipment Results Matrix'!$T$276)</f>
        <v>71304.775948799987</v>
      </c>
      <c r="H46" s="6">
        <f>(($B46*'Equipment Results Matrix'!$R$267)+(H$5*'Equipment Results Matrix'!$R$268)+'Equipment Results Matrix'!$R$269+'Equipment Results Matrix'!$T$274)*(1+'Equipment Results Matrix'!$T$276)</f>
        <v>80920.613582399979</v>
      </c>
      <c r="I46" s="6">
        <f>(($B46*'Equipment Results Matrix'!$R$267)+(I$5*'Equipment Results Matrix'!$R$268)+'Equipment Results Matrix'!$R$269+'Equipment Results Matrix'!$T$274)*(1+'Equipment Results Matrix'!$T$276)</f>
        <v>90536.451216000001</v>
      </c>
      <c r="J46" s="42" t="s">
        <v>35</v>
      </c>
      <c r="K46" s="43">
        <f>G46*Inflation!$D$3</f>
        <v>76880.350675956506</v>
      </c>
      <c r="L46" s="43">
        <f>H46*Inflation!$D$3</f>
        <v>87248.084947291369</v>
      </c>
      <c r="M46" s="43">
        <f>I46*Inflation!$D$3</f>
        <v>97615.81921862626</v>
      </c>
      <c r="N46" s="332">
        <f>$AE$10</f>
        <v>233.02465630359515</v>
      </c>
      <c r="O46" s="333">
        <v>0.05</v>
      </c>
      <c r="P46" s="1477">
        <v>23</v>
      </c>
      <c r="Q46" s="341">
        <f t="shared" si="16"/>
        <v>7.666666666666667</v>
      </c>
      <c r="R46" s="334">
        <f t="shared" si="17"/>
        <v>6.2412587657030576</v>
      </c>
      <c r="S46" s="36">
        <f t="shared" si="18"/>
        <v>13.488573884064344</v>
      </c>
      <c r="T46" s="36">
        <f t="shared" si="19"/>
        <v>0.4627070896706581</v>
      </c>
      <c r="U46" s="334">
        <f>(N46+E46)*T46</f>
        <v>41197.713248514498</v>
      </c>
      <c r="V46" s="336" t="s">
        <v>35</v>
      </c>
      <c r="W46" s="335">
        <f>$U46+(K46-$E46)</f>
        <v>29274.818836479404</v>
      </c>
      <c r="X46" s="335">
        <f>$U46+(L46-$E46)</f>
        <v>39642.553107814267</v>
      </c>
      <c r="Y46" s="335">
        <f>$U46+(M46-$E46)</f>
        <v>50010.287379149158</v>
      </c>
      <c r="Z46" s="63"/>
    </row>
    <row r="47" spans="1:27" ht="15.6">
      <c r="A47" s="2182"/>
      <c r="B47" s="47">
        <v>300</v>
      </c>
      <c r="C47" s="8">
        <v>0.57599999999999996</v>
      </c>
      <c r="D47" s="6">
        <f>(($B47*'Equipment Results Matrix'!$R$267)+($C47*'Equipment Results Matrix'!$R$268)+'Equipment Results Matrix'!$R$269+'Equipment Results Matrix'!$T$274)*(1+'Equipment Results Matrix'!$T$276)</f>
        <v>126461.05379615999</v>
      </c>
      <c r="E47" s="44">
        <f>D47*Inflation!$D$3</f>
        <v>136349.49459319355</v>
      </c>
      <c r="F47" s="8" t="s">
        <v>35</v>
      </c>
      <c r="G47" s="8" t="s">
        <v>35</v>
      </c>
      <c r="H47" s="8" t="s">
        <v>35</v>
      </c>
      <c r="I47" s="6">
        <f>(($B47*'Equipment Results Matrix'!$R$267)+(I$5*'Equipment Results Matrix'!$R$268)+'Equipment Results Matrix'!$R$269+'Equipment Results Matrix'!$T$274)*(1+'Equipment Results Matrix'!$T$276)</f>
        <v>120691.55121599999</v>
      </c>
      <c r="J47" s="42" t="s">
        <v>35</v>
      </c>
      <c r="K47" s="42" t="s">
        <v>35</v>
      </c>
      <c r="L47" s="42" t="s">
        <v>35</v>
      </c>
      <c r="M47" s="43">
        <f>I47*Inflation!$D$3</f>
        <v>130128.85403039264</v>
      </c>
      <c r="N47" s="332">
        <f>$AE$11</f>
        <v>196.21348078378611</v>
      </c>
      <c r="O47" s="333">
        <v>0.05</v>
      </c>
      <c r="P47" s="1477">
        <v>23</v>
      </c>
      <c r="Q47" s="341">
        <f t="shared" si="16"/>
        <v>7.666666666666667</v>
      </c>
      <c r="R47" s="334">
        <f t="shared" si="17"/>
        <v>6.2412587657030576</v>
      </c>
      <c r="S47" s="36">
        <f t="shared" si="18"/>
        <v>13.488573884064344</v>
      </c>
      <c r="T47" s="36">
        <f t="shared" si="19"/>
        <v>0.4627070896706581</v>
      </c>
      <c r="U47" s="334">
        <f>(N47+E47)*T47</f>
        <v>63180.667189929329</v>
      </c>
      <c r="V47" s="336" t="s">
        <v>35</v>
      </c>
      <c r="W47" s="336" t="s">
        <v>35</v>
      </c>
      <c r="X47" s="336" t="s">
        <v>35</v>
      </c>
      <c r="Y47" s="335">
        <f>$U47+(M47-$E47)</f>
        <v>56960.02662712842</v>
      </c>
      <c r="Z47" s="63"/>
    </row>
    <row r="48" spans="1:27" ht="15.6">
      <c r="A48" s="2182"/>
      <c r="B48" s="47">
        <v>600</v>
      </c>
      <c r="C48" s="8">
        <v>0.56999999999999995</v>
      </c>
      <c r="D48" s="6">
        <f>(($B48*'Equipment Results Matrix'!$R$267)+($C48*'Equipment Results Matrix'!$R$268)+'Equipment Results Matrix'!$R$269+'Equipment Results Matrix'!$T$274)*(1+'Equipment Results Matrix'!$T$276)</f>
        <v>218368.7294412</v>
      </c>
      <c r="E48" s="44">
        <f>D48*Inflation!$D$3</f>
        <v>235443.75916919296</v>
      </c>
      <c r="F48" s="8" t="s">
        <v>35</v>
      </c>
      <c r="G48" s="8" t="s">
        <v>35</v>
      </c>
      <c r="H48" s="8" t="s">
        <v>35</v>
      </c>
      <c r="I48" s="6">
        <f>(($B48*'Equipment Results Matrix'!$R$267)+(I$5*'Equipment Results Matrix'!$R$268)+'Equipment Results Matrix'!$R$269+'Equipment Results Matrix'!$T$274)*(1+'Equipment Results Matrix'!$T$276)</f>
        <v>211156.85121600001</v>
      </c>
      <c r="J48" s="42" t="s">
        <v>35</v>
      </c>
      <c r="K48" s="42" t="s">
        <v>35</v>
      </c>
      <c r="L48" s="42" t="s">
        <v>35</v>
      </c>
      <c r="M48" s="43">
        <f>I48*Inflation!$D$3</f>
        <v>227667.9584656918</v>
      </c>
      <c r="N48" s="332">
        <f>$AE$11</f>
        <v>196.21348078378611</v>
      </c>
      <c r="O48" s="333">
        <v>0.05</v>
      </c>
      <c r="P48" s="1477">
        <v>23</v>
      </c>
      <c r="Q48" s="341">
        <f t="shared" si="16"/>
        <v>7.666666666666667</v>
      </c>
      <c r="R48" s="334">
        <f t="shared" si="17"/>
        <v>6.2412587657030576</v>
      </c>
      <c r="S48" s="36">
        <f t="shared" si="18"/>
        <v>13.488573884064344</v>
      </c>
      <c r="T48" s="36">
        <f t="shared" si="19"/>
        <v>0.4627070896706581</v>
      </c>
      <c r="U48" s="334">
        <f t="shared" ref="U48" si="20">E48*T48</f>
        <v>108941.49658629659</v>
      </c>
      <c r="V48" s="336" t="s">
        <v>35</v>
      </c>
      <c r="W48" s="336" t="s">
        <v>35</v>
      </c>
      <c r="X48" s="336" t="s">
        <v>35</v>
      </c>
      <c r="Y48" s="335">
        <f>$U48+(M48-$E48)</f>
        <v>101165.69588279544</v>
      </c>
      <c r="Z48" s="63"/>
    </row>
    <row r="49" spans="1:26" ht="15.75" customHeight="1">
      <c r="A49" s="2182"/>
      <c r="B49" s="2186" t="s">
        <v>46</v>
      </c>
      <c r="C49" s="2186"/>
      <c r="D49" s="2186"/>
      <c r="E49" s="2186"/>
      <c r="F49" s="2186"/>
      <c r="G49" s="2186"/>
      <c r="H49" s="2186"/>
      <c r="I49" s="2186"/>
      <c r="J49" s="2186"/>
      <c r="K49" s="2186"/>
      <c r="L49" s="2186"/>
      <c r="M49" s="2186"/>
      <c r="N49" s="2186"/>
      <c r="O49" s="2186"/>
      <c r="P49" s="2186"/>
      <c r="Q49" s="2186"/>
      <c r="R49" s="2186"/>
      <c r="S49" s="2186"/>
      <c r="T49" s="2186"/>
      <c r="U49" s="2186"/>
      <c r="V49" s="2186"/>
      <c r="W49" s="2186"/>
      <c r="X49" s="2186"/>
      <c r="Y49" s="2186"/>
      <c r="Z49" s="63"/>
    </row>
    <row r="50" spans="1:26" ht="15.75" customHeight="1">
      <c r="A50" s="2182"/>
      <c r="B50" s="2160" t="s">
        <v>31</v>
      </c>
      <c r="C50" s="2160" t="s">
        <v>37</v>
      </c>
      <c r="D50" s="2160" t="s">
        <v>44</v>
      </c>
      <c r="E50" s="2160" t="s">
        <v>113</v>
      </c>
      <c r="F50" s="2160" t="s">
        <v>423</v>
      </c>
      <c r="G50" s="2160"/>
      <c r="H50" s="2160"/>
      <c r="I50" s="2160"/>
      <c r="J50" s="2160" t="s">
        <v>425</v>
      </c>
      <c r="K50" s="2160"/>
      <c r="L50" s="2160"/>
      <c r="M50" s="2160"/>
      <c r="N50" s="2208" t="s">
        <v>733</v>
      </c>
      <c r="O50" s="2224" t="s">
        <v>621</v>
      </c>
      <c r="P50" s="2224" t="s">
        <v>622</v>
      </c>
      <c r="Q50" s="2224" t="s">
        <v>261</v>
      </c>
      <c r="R50" s="2210" t="s">
        <v>623</v>
      </c>
      <c r="S50" s="2210" t="s">
        <v>624</v>
      </c>
      <c r="T50" s="2210" t="s">
        <v>629</v>
      </c>
      <c r="U50" s="2225" t="s">
        <v>625</v>
      </c>
      <c r="V50" s="2225" t="s">
        <v>765</v>
      </c>
      <c r="W50" s="2225"/>
      <c r="X50" s="2225"/>
      <c r="Y50" s="2225"/>
      <c r="Z50" s="63"/>
    </row>
    <row r="51" spans="1:26" ht="15.75" customHeight="1">
      <c r="A51" s="2182"/>
      <c r="B51" s="2160"/>
      <c r="C51" s="2160"/>
      <c r="D51" s="2160"/>
      <c r="E51" s="2160"/>
      <c r="F51" s="2160" t="s">
        <v>229</v>
      </c>
      <c r="G51" s="2160"/>
      <c r="H51" s="2160"/>
      <c r="I51" s="2160"/>
      <c r="J51" s="2160" t="s">
        <v>229</v>
      </c>
      <c r="K51" s="2160"/>
      <c r="L51" s="2160"/>
      <c r="M51" s="2160"/>
      <c r="N51" s="2208"/>
      <c r="O51" s="2224"/>
      <c r="P51" s="2224"/>
      <c r="Q51" s="2224"/>
      <c r="R51" s="2210"/>
      <c r="S51" s="2210"/>
      <c r="T51" s="2210"/>
      <c r="U51" s="2225"/>
      <c r="V51" s="2211" t="s">
        <v>229</v>
      </c>
      <c r="W51" s="2211"/>
      <c r="X51" s="2211"/>
      <c r="Y51" s="2211"/>
      <c r="Z51" s="63"/>
    </row>
    <row r="52" spans="1:26" ht="15.75" customHeight="1">
      <c r="A52" s="2182"/>
      <c r="B52" s="2160"/>
      <c r="C52" s="2160"/>
      <c r="D52" s="2160"/>
      <c r="E52" s="2160"/>
      <c r="F52" s="1480" t="s">
        <v>22</v>
      </c>
      <c r="G52" s="1480">
        <v>0.6</v>
      </c>
      <c r="H52" s="1480">
        <v>0.57999999999999996</v>
      </c>
      <c r="I52" s="1498">
        <v>0.54</v>
      </c>
      <c r="J52" s="1480" t="s">
        <v>22</v>
      </c>
      <c r="K52" s="1480">
        <v>0.6</v>
      </c>
      <c r="L52" s="1480">
        <v>0.57999999999999996</v>
      </c>
      <c r="M52" s="1498">
        <v>0.54</v>
      </c>
      <c r="N52" s="2208"/>
      <c r="O52" s="2224"/>
      <c r="P52" s="2224"/>
      <c r="Q52" s="2224"/>
      <c r="R52" s="2210"/>
      <c r="S52" s="2210"/>
      <c r="T52" s="2210"/>
      <c r="U52" s="2225"/>
      <c r="V52" s="1499" t="s">
        <v>22</v>
      </c>
      <c r="W52" s="1499">
        <v>0.6</v>
      </c>
      <c r="X52" s="1499">
        <v>0.57999999999999996</v>
      </c>
      <c r="Y52" s="1520">
        <v>0.54</v>
      </c>
      <c r="Z52" s="63"/>
    </row>
    <row r="53" spans="1:26" ht="15.6">
      <c r="A53" s="2182"/>
      <c r="B53" s="8">
        <v>100</v>
      </c>
      <c r="C53" s="8">
        <v>0.61</v>
      </c>
      <c r="D53" s="6">
        <f>(($B53*'Equipment Results Matrix'!$R$267)+($C53*'Equipment Results Matrix'!$R$268)+'Equipment Results Matrix'!$R$269+'Equipment Results Matrix'!$T$274)*(1+'Equipment Results Matrix'!$T$276)</f>
        <v>57977.39180759999</v>
      </c>
      <c r="E53" s="44">
        <f>D53*Inflation!$D$3</f>
        <v>62510.850839026149</v>
      </c>
      <c r="F53" s="8" t="s">
        <v>35</v>
      </c>
      <c r="G53" s="6">
        <f>(($B53*'Equipment Results Matrix'!$R$267)+(G$43*'Equipment Results Matrix'!$R$268)+'Equipment Results Matrix'!$R$269+'Equipment Results Matrix'!$T$274)*(1+'Equipment Results Matrix'!$T$276)</f>
        <v>60381.351215999995</v>
      </c>
      <c r="H53" s="6">
        <f>(($B53*'Equipment Results Matrix'!$R$267)+(H$43*'Equipment Results Matrix'!$R$268)+'Equipment Results Matrix'!$R$269+'Equipment Results Matrix'!$T$274)*(1+'Equipment Results Matrix'!$T$276)</f>
        <v>65189.270032799985</v>
      </c>
      <c r="I53" s="6">
        <f>(($B53*'Equipment Results Matrix'!$R$267)+(I$43*'Equipment Results Matrix'!$R$268)+'Equipment Results Matrix'!$R$269+'Equipment Results Matrix'!$T$274)*(1+'Equipment Results Matrix'!$T$276)</f>
        <v>74805.10766639997</v>
      </c>
      <c r="J53" s="42" t="s">
        <v>35</v>
      </c>
      <c r="K53" s="43">
        <f>G53*Inflation!$D$3</f>
        <v>65102.784406859872</v>
      </c>
      <c r="L53" s="43">
        <f>H53*Inflation!$D$3</f>
        <v>70286.651542527296</v>
      </c>
      <c r="M53" s="43">
        <f>I53*Inflation!$D$3</f>
        <v>80654.385813862144</v>
      </c>
      <c r="N53" s="332">
        <f>$AE$9</f>
        <v>295.74310892974461</v>
      </c>
      <c r="O53" s="333">
        <v>0.05</v>
      </c>
      <c r="P53" s="1477">
        <v>23</v>
      </c>
      <c r="Q53" s="341">
        <f>P53/3</f>
        <v>7.666666666666667</v>
      </c>
      <c r="R53" s="334">
        <f>((1+$O53)^Q53-1)/($O53*(1+$O53)^Q53)</f>
        <v>6.2412587657030576</v>
      </c>
      <c r="S53" s="36">
        <f>((1+$O53)^P53-1)/($O53*(1+$O53)^P53)</f>
        <v>13.488573884064344</v>
      </c>
      <c r="T53" s="36">
        <f>R53/S53</f>
        <v>0.4627070896706581</v>
      </c>
      <c r="U53" s="334">
        <f>E53*T53</f>
        <v>28924.213864562404</v>
      </c>
      <c r="V53" s="336" t="s">
        <v>35</v>
      </c>
      <c r="W53" s="335">
        <f>$U53+(K53-$E53)</f>
        <v>31516.147432396127</v>
      </c>
      <c r="X53" s="336" t="s">
        <v>35</v>
      </c>
      <c r="Y53" s="336" t="s">
        <v>35</v>
      </c>
      <c r="Z53" s="63"/>
    </row>
    <row r="54" spans="1:26" ht="15.6">
      <c r="A54" s="2182"/>
      <c r="B54" s="8">
        <v>150</v>
      </c>
      <c r="C54" s="8">
        <v>0.61</v>
      </c>
      <c r="D54" s="6">
        <f>(($B54*'Equipment Results Matrix'!$R$267)+($C54*'Equipment Results Matrix'!$R$268)+'Equipment Results Matrix'!$R$271+'Equipment Results Matrix'!$T$274)*(1+'Equipment Results Matrix'!$T$276)</f>
        <v>90071.670207599993</v>
      </c>
      <c r="E54" s="44">
        <f>D54*Inflation!$D$3</f>
        <v>97114.695325621185</v>
      </c>
      <c r="F54" s="8" t="s">
        <v>35</v>
      </c>
      <c r="G54" s="6">
        <f>(($B54*'Equipment Results Matrix'!$R$267)+(G$5*'Equipment Results Matrix'!$R$268)+'Equipment Results Matrix'!$R$269+'Equipment Results Matrix'!$T$274)*(1+'Equipment Results Matrix'!$T$276)</f>
        <v>56227.225948799984</v>
      </c>
      <c r="H54" s="6">
        <f>(($B54*'Equipment Results Matrix'!$R$267)+(H$5*'Equipment Results Matrix'!$R$268)+'Equipment Results Matrix'!$R$269+'Equipment Results Matrix'!$T$274)*(1+'Equipment Results Matrix'!$T$276)</f>
        <v>65843.063582399976</v>
      </c>
      <c r="I54" s="6">
        <f>(($B54*'Equipment Results Matrix'!$R$267)+(I$5*'Equipment Results Matrix'!$R$268)+'Equipment Results Matrix'!$R$269+'Equipment Results Matrix'!$T$274)*(1+'Equipment Results Matrix'!$T$276)</f>
        <v>75458.901215999998</v>
      </c>
      <c r="J54" s="42" t="s">
        <v>35</v>
      </c>
      <c r="K54" s="43">
        <f>G54*Inflation!$D$3</f>
        <v>60623.833270073315</v>
      </c>
      <c r="L54" s="43">
        <f>H54*Inflation!$D$3</f>
        <v>70991.567541408178</v>
      </c>
      <c r="M54" s="43">
        <f>I54*Inflation!$D$3</f>
        <v>81359.30181274307</v>
      </c>
      <c r="N54" s="332">
        <f>$AE$9</f>
        <v>295.74310892974461</v>
      </c>
      <c r="O54" s="333">
        <v>0.05</v>
      </c>
      <c r="P54" s="1477">
        <v>23</v>
      </c>
      <c r="Q54" s="341">
        <f t="shared" ref="Q54:Q57" si="21">P54/3</f>
        <v>7.666666666666667</v>
      </c>
      <c r="R54" s="334">
        <f t="shared" ref="R54:R57" si="22">((1+$O54)^Q54-1)/($O54*(1+$O54)^Q54)</f>
        <v>6.2412587657030576</v>
      </c>
      <c r="S54" s="36">
        <f t="shared" ref="S54:S57" si="23">((1+$O54)^P54-1)/($O54*(1+$O54)^P54)</f>
        <v>13.488573884064344</v>
      </c>
      <c r="T54" s="36">
        <f t="shared" ref="T54:T57" si="24">R54/S54</f>
        <v>0.4627070896706581</v>
      </c>
      <c r="U54" s="334">
        <f t="shared" ref="U54:U55" si="25">E54*T54</f>
        <v>44935.658038370842</v>
      </c>
      <c r="V54" s="336" t="s">
        <v>35</v>
      </c>
      <c r="W54" s="335">
        <f>$U54+(K54-$E54)</f>
        <v>8444.7959828229723</v>
      </c>
      <c r="X54" s="336" t="s">
        <v>35</v>
      </c>
      <c r="Y54" s="336" t="s">
        <v>35</v>
      </c>
    </row>
    <row r="55" spans="1:26" ht="15.6">
      <c r="A55" s="2182"/>
      <c r="B55" s="8">
        <v>200</v>
      </c>
      <c r="C55" s="8">
        <v>0.61</v>
      </c>
      <c r="D55" s="6">
        <f>(($B55*'Equipment Results Matrix'!$R$267)+($C55*'Equipment Results Matrix'!$R$268)+'Equipment Results Matrix'!$R$271+'Equipment Results Matrix'!$T$274)*(1+'Equipment Results Matrix'!$T$276)</f>
        <v>105149.2202076</v>
      </c>
      <c r="E55" s="44">
        <f>D55*Inflation!$D$3</f>
        <v>113371.21273150438</v>
      </c>
      <c r="F55" s="8" t="s">
        <v>35</v>
      </c>
      <c r="G55" s="6">
        <f>(($B55*'Equipment Results Matrix'!$R$267)+(G$5*'Equipment Results Matrix'!$R$268)+'Equipment Results Matrix'!$R$269+'Equipment Results Matrix'!$T$274)*(1+'Equipment Results Matrix'!$T$276)</f>
        <v>71304.775948799987</v>
      </c>
      <c r="H55" s="6">
        <f>(($B55*'Equipment Results Matrix'!$R$267)+(H$5*'Equipment Results Matrix'!$R$268)+'Equipment Results Matrix'!$R$269+'Equipment Results Matrix'!$T$274)*(1+'Equipment Results Matrix'!$T$276)</f>
        <v>80920.613582399979</v>
      </c>
      <c r="I55" s="6">
        <f>(($B55*'Equipment Results Matrix'!$R$267)+(I$5*'Equipment Results Matrix'!$R$268)+'Equipment Results Matrix'!$R$269+'Equipment Results Matrix'!$T$274)*(1+'Equipment Results Matrix'!$T$276)</f>
        <v>90536.451216000001</v>
      </c>
      <c r="J55" s="42" t="s">
        <v>35</v>
      </c>
      <c r="K55" s="43">
        <f>G55*Inflation!$D$3</f>
        <v>76880.350675956506</v>
      </c>
      <c r="L55" s="43">
        <f>H55*Inflation!$D$3</f>
        <v>87248.084947291369</v>
      </c>
      <c r="M55" s="43">
        <f>I55*Inflation!$D$3</f>
        <v>97615.81921862626</v>
      </c>
      <c r="N55" s="332">
        <f>$AE$10</f>
        <v>233.02465630359515</v>
      </c>
      <c r="O55" s="333">
        <v>0.05</v>
      </c>
      <c r="P55" s="1477">
        <v>23</v>
      </c>
      <c r="Q55" s="341">
        <f t="shared" si="21"/>
        <v>7.666666666666667</v>
      </c>
      <c r="R55" s="334">
        <f t="shared" si="22"/>
        <v>6.2412587657030576</v>
      </c>
      <c r="S55" s="36">
        <f t="shared" si="23"/>
        <v>13.488573884064344</v>
      </c>
      <c r="T55" s="36">
        <f t="shared" si="24"/>
        <v>0.4627070896706581</v>
      </c>
      <c r="U55" s="334">
        <f t="shared" si="25"/>
        <v>52457.663895427453</v>
      </c>
      <c r="V55" s="336" t="s">
        <v>35</v>
      </c>
      <c r="W55" s="335">
        <f>$U55+(K55-$E55)</f>
        <v>15966.801839879583</v>
      </c>
      <c r="X55" s="335">
        <f>$U55+(L55-$E55)</f>
        <v>26334.536111214446</v>
      </c>
      <c r="Y55" s="335">
        <f>$U55+(M55-$E55)</f>
        <v>36702.270382549337</v>
      </c>
    </row>
    <row r="56" spans="1:26" ht="15.6">
      <c r="A56" s="2182"/>
      <c r="B56" s="47">
        <v>300</v>
      </c>
      <c r="C56" s="8">
        <v>0.56000000000000005</v>
      </c>
      <c r="D56" s="6">
        <f>(($B56*'Equipment Results Matrix'!$R$267)+($C56*'Equipment Results Matrix'!$R$268)+'Equipment Results Matrix'!$R$271+'Equipment Results Matrix'!$T$274)*(1+'Equipment Results Matrix'!$T$276)</f>
        <v>147324.11724959998</v>
      </c>
      <c r="E56" s="44">
        <f>D56*Inflation!$D$3</f>
        <v>158843.91538243933</v>
      </c>
      <c r="F56" s="8" t="s">
        <v>35</v>
      </c>
      <c r="G56" s="8" t="s">
        <v>35</v>
      </c>
      <c r="H56" s="8" t="s">
        <v>35</v>
      </c>
      <c r="I56" s="6">
        <f>(($B56*'Equipment Results Matrix'!$R$267)+(I$5*'Equipment Results Matrix'!$R$268)+'Equipment Results Matrix'!$R$269+'Equipment Results Matrix'!$T$274)*(1+'Equipment Results Matrix'!$T$276)</f>
        <v>120691.55121599999</v>
      </c>
      <c r="J56" s="42" t="s">
        <v>35</v>
      </c>
      <c r="K56" s="42" t="s">
        <v>35</v>
      </c>
      <c r="L56" s="42" t="s">
        <v>35</v>
      </c>
      <c r="M56" s="43">
        <f>I56*Inflation!$D$3</f>
        <v>130128.85403039264</v>
      </c>
      <c r="N56" s="332">
        <f>$AE$11</f>
        <v>196.21348078378611</v>
      </c>
      <c r="O56" s="333">
        <v>0.05</v>
      </c>
      <c r="P56" s="1477">
        <v>23</v>
      </c>
      <c r="Q56" s="341">
        <f t="shared" si="21"/>
        <v>7.666666666666667</v>
      </c>
      <c r="R56" s="334">
        <f t="shared" si="22"/>
        <v>6.2412587657030576</v>
      </c>
      <c r="S56" s="36">
        <f t="shared" si="23"/>
        <v>13.488573884064344</v>
      </c>
      <c r="T56" s="36">
        <f t="shared" si="24"/>
        <v>0.4627070896706581</v>
      </c>
      <c r="U56" s="334">
        <f>E56*T56</f>
        <v>73498.205798500785</v>
      </c>
      <c r="V56" s="336" t="s">
        <v>35</v>
      </c>
      <c r="W56" s="336" t="s">
        <v>35</v>
      </c>
      <c r="X56" s="336" t="s">
        <v>35</v>
      </c>
      <c r="Y56" s="335">
        <f>$U56+(M56-$E56)</f>
        <v>44783.144446454098</v>
      </c>
    </row>
    <row r="57" spans="1:26" ht="15.6">
      <c r="A57" s="2182"/>
      <c r="B57" s="47">
        <v>600</v>
      </c>
      <c r="C57" s="8">
        <v>0.56000000000000005</v>
      </c>
      <c r="D57" s="6">
        <f>(($B57*'Equipment Results Matrix'!$R$267)+($C57*'Equipment Results Matrix'!$R$268)+'Equipment Results Matrix'!$R$271+'Equipment Results Matrix'!$T$274)*(1+'Equipment Results Matrix'!$T$276)</f>
        <v>237789.41724959997</v>
      </c>
      <c r="E57" s="44">
        <f>D57*Inflation!$D$3</f>
        <v>256383.01981773847</v>
      </c>
      <c r="F57" s="8" t="s">
        <v>35</v>
      </c>
      <c r="G57" s="8" t="s">
        <v>35</v>
      </c>
      <c r="H57" s="8" t="s">
        <v>35</v>
      </c>
      <c r="I57" s="6">
        <f>(($B57*'Equipment Results Matrix'!$R$267)+(I$5*'Equipment Results Matrix'!$R$268)+'Equipment Results Matrix'!$R$269+'Equipment Results Matrix'!$T$274)*(1+'Equipment Results Matrix'!$T$276)</f>
        <v>211156.85121600001</v>
      </c>
      <c r="J57" s="42" t="s">
        <v>35</v>
      </c>
      <c r="K57" s="42" t="s">
        <v>35</v>
      </c>
      <c r="L57" s="42" t="s">
        <v>35</v>
      </c>
      <c r="M57" s="43">
        <f>I57*Inflation!$D$3</f>
        <v>227667.9584656918</v>
      </c>
      <c r="N57" s="332">
        <f>$AE$11</f>
        <v>196.21348078378611</v>
      </c>
      <c r="O57" s="333">
        <v>0.05</v>
      </c>
      <c r="P57" s="1477">
        <v>23</v>
      </c>
      <c r="Q57" s="341">
        <f t="shared" si="21"/>
        <v>7.666666666666667</v>
      </c>
      <c r="R57" s="334">
        <f t="shared" si="22"/>
        <v>6.2412587657030576</v>
      </c>
      <c r="S57" s="36">
        <f t="shared" si="23"/>
        <v>13.488573884064344</v>
      </c>
      <c r="T57" s="36">
        <f t="shared" si="24"/>
        <v>0.4627070896706581</v>
      </c>
      <c r="U57" s="334">
        <f t="shared" ref="U57" si="26">E57*T57</f>
        <v>118630.24094084043</v>
      </c>
      <c r="V57" s="336" t="s">
        <v>35</v>
      </c>
      <c r="W57" s="336" t="s">
        <v>35</v>
      </c>
      <c r="X57" s="336" t="s">
        <v>35</v>
      </c>
      <c r="Y57" s="335">
        <f>$U57+(M57-$E57)</f>
        <v>89915.179588793762</v>
      </c>
    </row>
    <row r="58" spans="1:26" ht="15.6">
      <c r="N58" s="340"/>
      <c r="O58" s="340"/>
      <c r="P58" s="340"/>
      <c r="Q58" s="340"/>
      <c r="R58" s="340"/>
      <c r="S58" s="340"/>
      <c r="T58" s="340"/>
      <c r="U58" s="63"/>
      <c r="V58" s="63"/>
      <c r="W58" s="63"/>
      <c r="X58" s="63"/>
      <c r="Y58" s="63"/>
    </row>
    <row r="59" spans="1:26" ht="21">
      <c r="A59" s="184" t="s">
        <v>634</v>
      </c>
      <c r="N59" s="1"/>
      <c r="O59" s="1"/>
      <c r="P59" s="1"/>
      <c r="Q59" s="1"/>
      <c r="R59" s="1"/>
      <c r="S59" s="1"/>
      <c r="T59" s="1"/>
    </row>
    <row r="60" spans="1:26">
      <c r="N60" s="1"/>
      <c r="O60" s="1"/>
      <c r="P60" s="1"/>
      <c r="Q60" s="1"/>
      <c r="R60" s="1"/>
      <c r="S60" s="1"/>
      <c r="T60" s="1"/>
    </row>
  </sheetData>
  <mergeCells count="125">
    <mergeCell ref="A3:A19"/>
    <mergeCell ref="A2:Y2"/>
    <mergeCell ref="B11:Y11"/>
    <mergeCell ref="A21:Y21"/>
    <mergeCell ref="A40:Y40"/>
    <mergeCell ref="B49:Y49"/>
    <mergeCell ref="N41:N43"/>
    <mergeCell ref="Q41:Q43"/>
    <mergeCell ref="R41:R43"/>
    <mergeCell ref="S41:S43"/>
    <mergeCell ref="T41:T43"/>
    <mergeCell ref="U41:U43"/>
    <mergeCell ref="V41:Y41"/>
    <mergeCell ref="V42:Y42"/>
    <mergeCell ref="O41:O43"/>
    <mergeCell ref="P41:P43"/>
    <mergeCell ref="Q22:Q24"/>
    <mergeCell ref="R22:R24"/>
    <mergeCell ref="S22:S24"/>
    <mergeCell ref="T22:T24"/>
    <mergeCell ref="U22:U24"/>
    <mergeCell ref="V22:Y22"/>
    <mergeCell ref="V23:Y23"/>
    <mergeCell ref="N31:N33"/>
    <mergeCell ref="N50:N52"/>
    <mergeCell ref="Q50:Q52"/>
    <mergeCell ref="R50:R52"/>
    <mergeCell ref="S50:S52"/>
    <mergeCell ref="T50:T52"/>
    <mergeCell ref="U50:U52"/>
    <mergeCell ref="V50:Y50"/>
    <mergeCell ref="V51:Y51"/>
    <mergeCell ref="O50:O52"/>
    <mergeCell ref="P50:P52"/>
    <mergeCell ref="S31:S33"/>
    <mergeCell ref="T31:T33"/>
    <mergeCell ref="U31:U33"/>
    <mergeCell ref="V31:Y31"/>
    <mergeCell ref="V32:Y32"/>
    <mergeCell ref="O22:O24"/>
    <mergeCell ref="P22:P24"/>
    <mergeCell ref="O31:O33"/>
    <mergeCell ref="P31:P33"/>
    <mergeCell ref="AA12:AA14"/>
    <mergeCell ref="N12:N14"/>
    <mergeCell ref="Q12:Q14"/>
    <mergeCell ref="R12:R14"/>
    <mergeCell ref="S12:S14"/>
    <mergeCell ref="T12:T14"/>
    <mergeCell ref="U12:U14"/>
    <mergeCell ref="V12:Y12"/>
    <mergeCell ref="V13:Y13"/>
    <mergeCell ref="P12:P14"/>
    <mergeCell ref="AA1:AE1"/>
    <mergeCell ref="N3:N5"/>
    <mergeCell ref="Q3:Q5"/>
    <mergeCell ref="R3:R5"/>
    <mergeCell ref="S3:S5"/>
    <mergeCell ref="T3:T5"/>
    <mergeCell ref="U3:U5"/>
    <mergeCell ref="V3:Y3"/>
    <mergeCell ref="AA3:AA11"/>
    <mergeCell ref="AB3:AB5"/>
    <mergeCell ref="V4:Y4"/>
    <mergeCell ref="AB6:AB8"/>
    <mergeCell ref="AB9:AB11"/>
    <mergeCell ref="P3:P5"/>
    <mergeCell ref="N1:Y1"/>
    <mergeCell ref="J41:M41"/>
    <mergeCell ref="F51:I51"/>
    <mergeCell ref="J51:M51"/>
    <mergeCell ref="J42:M42"/>
    <mergeCell ref="F42:I42"/>
    <mergeCell ref="B50:B52"/>
    <mergeCell ref="C50:C52"/>
    <mergeCell ref="D50:D52"/>
    <mergeCell ref="E50:E52"/>
    <mergeCell ref="F50:I50"/>
    <mergeCell ref="J50:M50"/>
    <mergeCell ref="A22:A38"/>
    <mergeCell ref="B22:B24"/>
    <mergeCell ref="C22:C24"/>
    <mergeCell ref="D22:D24"/>
    <mergeCell ref="E22:E24"/>
    <mergeCell ref="F22:I22"/>
    <mergeCell ref="F32:I32"/>
    <mergeCell ref="F41:I41"/>
    <mergeCell ref="B3:B5"/>
    <mergeCell ref="C3:C5"/>
    <mergeCell ref="D3:D5"/>
    <mergeCell ref="E3:E5"/>
    <mergeCell ref="A41:A57"/>
    <mergeCell ref="B41:B43"/>
    <mergeCell ref="C41:C43"/>
    <mergeCell ref="D41:D43"/>
    <mergeCell ref="E41:E43"/>
    <mergeCell ref="B31:B33"/>
    <mergeCell ref="C31:C33"/>
    <mergeCell ref="D31:D33"/>
    <mergeCell ref="E31:E33"/>
    <mergeCell ref="B30:Y30"/>
    <mergeCell ref="Q31:Q33"/>
    <mergeCell ref="R31:R33"/>
    <mergeCell ref="J32:M32"/>
    <mergeCell ref="F23:I23"/>
    <mergeCell ref="J23:M23"/>
    <mergeCell ref="J22:M22"/>
    <mergeCell ref="J31:M31"/>
    <mergeCell ref="B1:M1"/>
    <mergeCell ref="O12:O14"/>
    <mergeCell ref="O3:O5"/>
    <mergeCell ref="F12:I12"/>
    <mergeCell ref="J12:M12"/>
    <mergeCell ref="F3:I3"/>
    <mergeCell ref="J3:M3"/>
    <mergeCell ref="F13:I13"/>
    <mergeCell ref="J13:M13"/>
    <mergeCell ref="B12:B14"/>
    <mergeCell ref="C12:C14"/>
    <mergeCell ref="D12:D14"/>
    <mergeCell ref="E12:E14"/>
    <mergeCell ref="F4:I4"/>
    <mergeCell ref="J4:M4"/>
    <mergeCell ref="F31:I31"/>
    <mergeCell ref="N22:N24"/>
  </mergeCells>
  <hyperlinks>
    <hyperlink ref="A59" location="'Master Summary'!A1" display="Return To Master Summary"/>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3"/>
  <dimension ref="A1:AB52"/>
  <sheetViews>
    <sheetView zoomScale="70" zoomScaleNormal="70" workbookViewId="0">
      <selection activeCell="B2" sqref="B2:M10"/>
    </sheetView>
  </sheetViews>
  <sheetFormatPr defaultRowHeight="14.4"/>
  <cols>
    <col min="3" max="3" width="10.6640625" customWidth="1"/>
    <col min="4" max="4" width="12.88671875" customWidth="1"/>
    <col min="5" max="5" width="14.44140625" customWidth="1"/>
    <col min="6" max="6" width="15.109375" customWidth="1"/>
    <col min="7" max="7" width="16.44140625" customWidth="1"/>
    <col min="8" max="8" width="15.33203125" customWidth="1"/>
    <col min="9" max="9" width="16" customWidth="1"/>
    <col min="10" max="10" width="14" customWidth="1"/>
    <col min="11" max="11" width="15.44140625" customWidth="1"/>
    <col min="12" max="12" width="14.109375" customWidth="1"/>
    <col min="13" max="13" width="14.5546875" customWidth="1"/>
    <col min="14" max="14" width="13.88671875" customWidth="1"/>
    <col min="15" max="15" width="15.33203125" customWidth="1"/>
    <col min="16" max="16" width="15.44140625" customWidth="1"/>
    <col min="17" max="17" width="16.5546875" customWidth="1"/>
    <col min="18" max="18" width="17.5546875" customWidth="1"/>
    <col min="19" max="19" width="15.33203125" customWidth="1"/>
    <col min="20" max="20" width="14" customWidth="1"/>
    <col min="21" max="21" width="14.5546875" customWidth="1"/>
    <col min="22" max="22" width="13.88671875" customWidth="1"/>
  </cols>
  <sheetData>
    <row r="1" spans="1:28" s="95" customFormat="1" ht="15" thickBot="1"/>
    <row r="2" spans="1:28" s="95" customFormat="1" ht="18.75" customHeight="1" thickBot="1">
      <c r="B2" s="2233" t="s">
        <v>1919</v>
      </c>
      <c r="C2" s="2234"/>
      <c r="D2" s="2234"/>
      <c r="E2" s="2234"/>
      <c r="F2" s="2234"/>
      <c r="G2" s="2234"/>
      <c r="H2" s="2234"/>
      <c r="I2" s="2234"/>
      <c r="J2" s="2234"/>
      <c r="K2" s="2234"/>
      <c r="L2" s="2234"/>
      <c r="M2" s="2235"/>
      <c r="S2" s="317"/>
      <c r="T2" s="317"/>
      <c r="U2" s="317"/>
      <c r="V2" s="317"/>
    </row>
    <row r="3" spans="1:28" s="95" customFormat="1" ht="36.75" customHeight="1">
      <c r="B3" s="2194" t="s">
        <v>30</v>
      </c>
      <c r="C3" s="2195"/>
      <c r="D3" s="2195"/>
      <c r="E3" s="2195"/>
      <c r="F3" s="2195"/>
      <c r="G3" s="2196"/>
      <c r="H3" s="2236" t="s">
        <v>34</v>
      </c>
      <c r="I3" s="2237"/>
      <c r="J3" s="2237"/>
      <c r="K3" s="2237"/>
      <c r="L3" s="2237"/>
      <c r="M3" s="2238"/>
      <c r="S3" s="317"/>
      <c r="T3" s="317"/>
      <c r="U3" s="317"/>
      <c r="V3" s="317"/>
    </row>
    <row r="4" spans="1:28" s="95" customFormat="1" ht="18" customHeight="1">
      <c r="B4" s="2239" t="s">
        <v>31</v>
      </c>
      <c r="C4" s="2231" t="s">
        <v>32</v>
      </c>
      <c r="D4" s="2231" t="s">
        <v>33</v>
      </c>
      <c r="E4" s="2231"/>
      <c r="F4" s="2231"/>
      <c r="G4" s="2232"/>
      <c r="H4" s="2197" t="s">
        <v>31</v>
      </c>
      <c r="I4" s="2160" t="s">
        <v>32</v>
      </c>
      <c r="J4" s="2160" t="s">
        <v>33</v>
      </c>
      <c r="K4" s="2160"/>
      <c r="L4" s="2160"/>
      <c r="M4" s="2198"/>
      <c r="Q4" s="5"/>
      <c r="V4" s="317"/>
    </row>
    <row r="5" spans="1:28" s="95" customFormat="1" ht="15" customHeight="1">
      <c r="B5" s="2239"/>
      <c r="C5" s="2231"/>
      <c r="D5" s="1679">
        <v>9.9</v>
      </c>
      <c r="E5" s="1679">
        <v>10.199999999999999</v>
      </c>
      <c r="F5" s="1679">
        <v>10.52</v>
      </c>
      <c r="G5" s="1688">
        <v>10.7</v>
      </c>
      <c r="H5" s="2197"/>
      <c r="I5" s="2160"/>
      <c r="J5" s="1628">
        <v>9.9</v>
      </c>
      <c r="K5" s="1628">
        <v>10.199999999999999</v>
      </c>
      <c r="L5" s="1628">
        <v>10.52</v>
      </c>
      <c r="M5" s="1681">
        <v>10.7</v>
      </c>
    </row>
    <row r="6" spans="1:28" s="95" customFormat="1">
      <c r="B6" s="1682">
        <v>50</v>
      </c>
      <c r="C6" s="1626">
        <v>9.5619999999999994</v>
      </c>
      <c r="D6" s="1680">
        <f>S17</f>
        <v>137.06766722884066</v>
      </c>
      <c r="E6" s="1680">
        <f t="shared" ref="E6:G6" si="0">T17</f>
        <v>258.99343439606668</v>
      </c>
      <c r="F6" s="1680">
        <f t="shared" si="0"/>
        <v>350.4377597714867</v>
      </c>
      <c r="G6" s="1683">
        <f t="shared" si="0"/>
        <v>411.40064335509936</v>
      </c>
      <c r="H6" s="1682">
        <v>50</v>
      </c>
      <c r="I6" s="1626">
        <v>10.1</v>
      </c>
      <c r="J6" s="1680" t="str">
        <f>S26</f>
        <v>N/A</v>
      </c>
      <c r="K6" s="1680">
        <f>T26</f>
        <v>54.866595225251295</v>
      </c>
      <c r="L6" s="1680">
        <f t="shared" ref="L6:M6" si="1">U26</f>
        <v>146.3109206006713</v>
      </c>
      <c r="M6" s="1683">
        <f t="shared" si="1"/>
        <v>207.27380418428402</v>
      </c>
    </row>
    <row r="7" spans="1:28" s="95" customFormat="1">
      <c r="B7" s="1682">
        <v>100</v>
      </c>
      <c r="C7" s="1626">
        <v>9.5619999999999994</v>
      </c>
      <c r="D7" s="1680">
        <f t="shared" ref="D7:D10" si="2">S18</f>
        <v>68.533833614420431</v>
      </c>
      <c r="E7" s="1680">
        <f t="shared" ref="E7:E10" si="3">T18</f>
        <v>129.49671719803328</v>
      </c>
      <c r="F7" s="1680">
        <f t="shared" ref="F7:F10" si="4">U18</f>
        <v>175.21887988574352</v>
      </c>
      <c r="G7" s="1683">
        <f t="shared" ref="G7:G10" si="5">V18</f>
        <v>205.70032167754965</v>
      </c>
      <c r="H7" s="1682">
        <v>100</v>
      </c>
      <c r="I7" s="1626">
        <v>10.1</v>
      </c>
      <c r="J7" s="1626" t="s">
        <v>1923</v>
      </c>
      <c r="K7" s="1680">
        <f t="shared" ref="K7:K10" si="6">T27</f>
        <v>27.433297612625612</v>
      </c>
      <c r="L7" s="1680">
        <f t="shared" ref="L7:L10" si="7">U27</f>
        <v>73.155460300335832</v>
      </c>
      <c r="M7" s="1683">
        <f t="shared" ref="M7:M10" si="8">V27</f>
        <v>103.63690209214197</v>
      </c>
    </row>
    <row r="8" spans="1:28" s="95" customFormat="1">
      <c r="B8" s="1682">
        <v>150</v>
      </c>
      <c r="C8" s="1626">
        <v>9.5619999999999994</v>
      </c>
      <c r="D8" s="1680">
        <f t="shared" si="2"/>
        <v>45.689222409613627</v>
      </c>
      <c r="E8" s="1680">
        <f t="shared" si="3"/>
        <v>86.331144798688953</v>
      </c>
      <c r="F8" s="1680">
        <f t="shared" si="4"/>
        <v>116.81258659049568</v>
      </c>
      <c r="G8" s="1683">
        <f t="shared" si="5"/>
        <v>137.1335477850331</v>
      </c>
      <c r="H8" s="1682">
        <v>150</v>
      </c>
      <c r="I8" s="1626">
        <v>10.1</v>
      </c>
      <c r="J8" s="1626" t="s">
        <v>1923</v>
      </c>
      <c r="K8" s="1680">
        <f t="shared" si="6"/>
        <v>18.288865075083837</v>
      </c>
      <c r="L8" s="1680">
        <f t="shared" si="7"/>
        <v>48.770306866890557</v>
      </c>
      <c r="M8" s="1683">
        <f t="shared" si="8"/>
        <v>69.091268061427982</v>
      </c>
    </row>
    <row r="9" spans="1:28" s="95" customFormat="1">
      <c r="B9" s="1682">
        <v>200</v>
      </c>
      <c r="C9" s="1626">
        <v>9.5619999999999994</v>
      </c>
      <c r="D9" s="1680">
        <f t="shared" si="2"/>
        <v>34.266916807210144</v>
      </c>
      <c r="E9" s="1680">
        <f t="shared" si="3"/>
        <v>64.748358599016569</v>
      </c>
      <c r="F9" s="1680">
        <f t="shared" si="4"/>
        <v>87.609439942871617</v>
      </c>
      <c r="G9" s="1683">
        <f t="shared" si="5"/>
        <v>102.85016083877468</v>
      </c>
      <c r="H9" s="1682">
        <v>200</v>
      </c>
      <c r="I9" s="1626">
        <v>10.1</v>
      </c>
      <c r="J9" s="1626" t="s">
        <v>1923</v>
      </c>
      <c r="K9" s="1680">
        <f t="shared" si="6"/>
        <v>13.716648806312879</v>
      </c>
      <c r="L9" s="1680">
        <f t="shared" si="7"/>
        <v>36.577730150167916</v>
      </c>
      <c r="M9" s="1683">
        <f t="shared" si="8"/>
        <v>51.818451046070983</v>
      </c>
    </row>
    <row r="10" spans="1:28" s="95" customFormat="1" ht="15" thickBot="1">
      <c r="B10" s="1684">
        <v>400</v>
      </c>
      <c r="C10" s="1685">
        <v>9.5619999999999994</v>
      </c>
      <c r="D10" s="1686">
        <f t="shared" si="2"/>
        <v>17.133458403605108</v>
      </c>
      <c r="E10" s="1686">
        <f t="shared" si="3"/>
        <v>32.37417929950832</v>
      </c>
      <c r="F10" s="1686">
        <f t="shared" si="4"/>
        <v>43.804719971435773</v>
      </c>
      <c r="G10" s="1687">
        <f t="shared" si="5"/>
        <v>51.425080419387449</v>
      </c>
      <c r="H10" s="1684">
        <v>400</v>
      </c>
      <c r="I10" s="1685">
        <v>10.1</v>
      </c>
      <c r="J10" s="1685" t="s">
        <v>1923</v>
      </c>
      <c r="K10" s="1686">
        <f t="shared" si="6"/>
        <v>6.8583244031562938</v>
      </c>
      <c r="L10" s="1686">
        <f t="shared" si="7"/>
        <v>18.288865075083741</v>
      </c>
      <c r="M10" s="1687">
        <f t="shared" si="8"/>
        <v>25.90922552303542</v>
      </c>
    </row>
    <row r="11" spans="1:28" s="95" customFormat="1">
      <c r="S11" s="317"/>
      <c r="T11" s="317"/>
      <c r="U11" s="317"/>
      <c r="V11" s="317"/>
    </row>
    <row r="12" spans="1:28" s="95" customFormat="1">
      <c r="S12" s="317"/>
      <c r="T12" s="317"/>
      <c r="U12" s="317"/>
      <c r="V12" s="317"/>
    </row>
    <row r="13" spans="1:28" ht="18.75" customHeight="1">
      <c r="B13" s="2228" t="s">
        <v>159</v>
      </c>
      <c r="C13" s="2228"/>
      <c r="D13" s="2228"/>
      <c r="E13" s="2228"/>
      <c r="F13" s="2228"/>
      <c r="G13" s="2228"/>
      <c r="H13" s="2228"/>
      <c r="I13" s="2228"/>
      <c r="J13" s="2228"/>
      <c r="K13" s="2228"/>
      <c r="L13" s="2228"/>
      <c r="M13" s="2228"/>
      <c r="N13" s="2228"/>
      <c r="O13" s="2228"/>
      <c r="P13" s="2228"/>
      <c r="Q13" s="2228"/>
      <c r="R13" s="2228"/>
      <c r="S13" s="2228"/>
      <c r="T13" s="2228"/>
      <c r="U13" s="2228"/>
      <c r="V13" s="2228"/>
      <c r="X13" s="2190" t="s">
        <v>766</v>
      </c>
      <c r="Y13" s="2190"/>
      <c r="Z13" s="2190"/>
      <c r="AA13" s="2190"/>
      <c r="AB13" s="2190"/>
    </row>
    <row r="14" spans="1:28" ht="45" customHeight="1">
      <c r="A14" s="2182" t="s">
        <v>161</v>
      </c>
      <c r="B14" s="2180" t="s">
        <v>31</v>
      </c>
      <c r="C14" s="2180" t="s">
        <v>37</v>
      </c>
      <c r="D14" s="2180" t="s">
        <v>44</v>
      </c>
      <c r="E14" s="2180" t="s">
        <v>113</v>
      </c>
      <c r="F14" s="2180" t="s">
        <v>235</v>
      </c>
      <c r="G14" s="2180"/>
      <c r="H14" s="2180"/>
      <c r="I14" s="2180"/>
      <c r="J14" s="2180" t="s">
        <v>236</v>
      </c>
      <c r="K14" s="2180"/>
      <c r="L14" s="2180"/>
      <c r="M14" s="2180"/>
      <c r="O14" s="2160" t="s">
        <v>1797</v>
      </c>
      <c r="P14" s="2160"/>
      <c r="Q14" s="2160"/>
      <c r="R14" s="2160"/>
      <c r="S14" s="2160"/>
      <c r="T14" s="2160"/>
      <c r="U14" s="2160"/>
      <c r="V14" s="2160"/>
      <c r="X14" s="29" t="s">
        <v>243</v>
      </c>
      <c r="Y14" s="29" t="s">
        <v>239</v>
      </c>
      <c r="Z14" s="20" t="s">
        <v>238</v>
      </c>
      <c r="AA14" s="29" t="s">
        <v>240</v>
      </c>
      <c r="AB14" s="29" t="s">
        <v>241</v>
      </c>
    </row>
    <row r="15" spans="1:28" ht="15" customHeight="1">
      <c r="A15" s="2182"/>
      <c r="B15" s="2160"/>
      <c r="C15" s="2160"/>
      <c r="D15" s="2160"/>
      <c r="E15" s="2160"/>
      <c r="F15" s="2160" t="s">
        <v>229</v>
      </c>
      <c r="G15" s="2160"/>
      <c r="H15" s="2160"/>
      <c r="I15" s="2160"/>
      <c r="J15" s="2160" t="s">
        <v>229</v>
      </c>
      <c r="K15" s="2160"/>
      <c r="L15" s="2160"/>
      <c r="M15" s="2160"/>
      <c r="O15" s="2160" t="s">
        <v>229</v>
      </c>
      <c r="P15" s="2160"/>
      <c r="Q15" s="2160"/>
      <c r="R15" s="2160"/>
      <c r="S15" s="2160" t="s">
        <v>229</v>
      </c>
      <c r="T15" s="2160"/>
      <c r="U15" s="2160"/>
      <c r="V15" s="2160"/>
      <c r="X15" s="2188" t="s">
        <v>246</v>
      </c>
      <c r="Y15" s="2189" t="s">
        <v>245</v>
      </c>
      <c r="Z15" s="2">
        <v>100</v>
      </c>
      <c r="AA15" s="2">
        <f>'Labor Results Matrix'!$L$127*'Labor Adjustment'!$B$5</f>
        <v>211.22694627062057</v>
      </c>
      <c r="AB15" s="2">
        <f>AA15*Inflation!$D$3</f>
        <v>227.74353450261461</v>
      </c>
    </row>
    <row r="16" spans="1:28" ht="15.75" customHeight="1">
      <c r="A16" s="2182"/>
      <c r="B16" s="2160"/>
      <c r="C16" s="2160"/>
      <c r="D16" s="2160"/>
      <c r="E16" s="2160"/>
      <c r="F16" s="1480">
        <v>1.21</v>
      </c>
      <c r="G16" s="1480">
        <v>1.17</v>
      </c>
      <c r="H16" s="1480">
        <v>1.1399999999999999</v>
      </c>
      <c r="I16" s="1498">
        <v>1.1200000000000001</v>
      </c>
      <c r="J16" s="1480">
        <v>1.21</v>
      </c>
      <c r="K16" s="1480">
        <v>1.17</v>
      </c>
      <c r="L16" s="1480">
        <v>1.1399999999999999</v>
      </c>
      <c r="M16" s="1498">
        <v>1.1200000000000001</v>
      </c>
      <c r="O16" s="1480">
        <v>1.21</v>
      </c>
      <c r="P16" s="1480">
        <v>1.17</v>
      </c>
      <c r="Q16" s="1480">
        <v>1.1399999999999999</v>
      </c>
      <c r="R16" s="1498">
        <v>1.1200000000000001</v>
      </c>
      <c r="S16" s="1480">
        <v>1.21</v>
      </c>
      <c r="T16" s="1480">
        <v>1.17</v>
      </c>
      <c r="U16" s="1480">
        <v>1.1399999999999999</v>
      </c>
      <c r="V16" s="1498">
        <v>1.1200000000000001</v>
      </c>
      <c r="X16" s="2188"/>
      <c r="Y16" s="2189"/>
      <c r="Z16" s="2">
        <v>200</v>
      </c>
      <c r="AA16" s="2">
        <f>'Labor Results Matrix'!$L$128*'Labor Adjustment'!$B$5</f>
        <v>149.39789971499894</v>
      </c>
      <c r="AB16" s="2">
        <f>AA16*Inflation!$D$3</f>
        <v>161.07985429458179</v>
      </c>
    </row>
    <row r="17" spans="1:28">
      <c r="A17" s="2182"/>
      <c r="B17" s="8">
        <v>50</v>
      </c>
      <c r="C17" s="50">
        <v>1.25496758</v>
      </c>
      <c r="D17" s="6">
        <f>((B17*'Equipment Results Matrix'!$R$245)+('Equipment Results Matrix'!$R$246*C17)+'Equipment Results Matrix'!$R$247+'Equipment Results Matrix'!$R$250+'Equipment Results Matrix'!$T$252)*(1+'Equipment Results Matrix'!$T$254)</f>
        <v>19328.406129513751</v>
      </c>
      <c r="E17" s="44">
        <f>D17*Inflation!$D$3</f>
        <v>20839.763136081103</v>
      </c>
      <c r="F17" s="6">
        <f>(($B17*'Equipment Results Matrix'!$R$245)+('Equipment Results Matrix'!$R$246*F$16)+'Equipment Results Matrix'!$R$247+'Equipment Results Matrix'!$R$250+'Equipment Results Matrix'!$T$252)*(1+'Equipment Results Matrix'!$T$254)</f>
        <v>25684.763258249986</v>
      </c>
      <c r="G17" s="6">
        <f>(($B17*'Equipment Results Matrix'!$R$245)+('Equipment Results Matrix'!$R$246*G$16)+'Equipment Results Matrix'!$R$247+'Equipment Results Matrix'!$R$250+'Equipment Results Matrix'!$T$252)*(1+'Equipment Results Matrix'!$T$254)</f>
        <v>31338.931998249973</v>
      </c>
      <c r="H17" s="6">
        <f>(($B17*'Equipment Results Matrix'!$R$245)+('Equipment Results Matrix'!$R$246*H$16)+'Equipment Results Matrix'!$R$247+'Equipment Results Matrix'!$R$250+'Equipment Results Matrix'!$T$252)*(1+'Equipment Results Matrix'!$T$254)</f>
        <v>35579.55855324999</v>
      </c>
      <c r="I17" s="6">
        <f>(($B17*'Equipment Results Matrix'!$R$245)+('Equipment Results Matrix'!$R$246*I$16)+'Equipment Results Matrix'!$R$247+'Equipment Results Matrix'!$R$250+'Equipment Results Matrix'!$T$252)*(1+'Equipment Results Matrix'!$T$254)</f>
        <v>38406.642923249965</v>
      </c>
      <c r="J17" s="43">
        <f>F17*Inflation!$D$3</f>
        <v>27693.146497523136</v>
      </c>
      <c r="K17" s="43">
        <f>G17*Inflation!$D$3</f>
        <v>33789.434855884436</v>
      </c>
      <c r="L17" s="43">
        <f>H17*Inflation!$D$3</f>
        <v>38361.651124655436</v>
      </c>
      <c r="M17" s="43">
        <f>I17*Inflation!$D$3</f>
        <v>41409.795303836072</v>
      </c>
      <c r="O17" s="255">
        <f>(F17-$D17)/$B17</f>
        <v>127.12714257472472</v>
      </c>
      <c r="P17" s="255">
        <f t="shared" ref="P17:R21" si="9">(G17-$D17)/$B17</f>
        <v>240.21051737472445</v>
      </c>
      <c r="Q17" s="255">
        <f t="shared" si="9"/>
        <v>325.02304847472476</v>
      </c>
      <c r="R17" s="255">
        <f>(I17-$D17)/$B17</f>
        <v>381.56473587472431</v>
      </c>
      <c r="S17" s="1469">
        <f>(J17-$E17)/$B17</f>
        <v>137.06766722884066</v>
      </c>
      <c r="T17" s="1469">
        <f t="shared" ref="T17:V21" si="10">(K17-$E17)/$B17</f>
        <v>258.99343439606668</v>
      </c>
      <c r="U17" s="1469">
        <f t="shared" si="10"/>
        <v>350.4377597714867</v>
      </c>
      <c r="V17" s="1469">
        <f t="shared" si="10"/>
        <v>411.40064335509936</v>
      </c>
      <c r="X17" s="2188"/>
      <c r="Y17" s="2189"/>
      <c r="Z17" s="2">
        <v>300</v>
      </c>
      <c r="AA17" s="2">
        <f>'Labor Results Matrix'!$L$129*'Labor Adjustment'!$B$5</f>
        <v>142.51425453885136</v>
      </c>
      <c r="AB17" s="2">
        <f>AA17*Inflation!$D$3</f>
        <v>153.65795235282289</v>
      </c>
    </row>
    <row r="18" spans="1:28">
      <c r="A18" s="2182"/>
      <c r="B18" s="8">
        <v>100</v>
      </c>
      <c r="C18" s="50">
        <v>1.25496758</v>
      </c>
      <c r="D18" s="6">
        <f>((B18*'Equipment Results Matrix'!$R$245)+('Equipment Results Matrix'!$R$246*C18)+'Equipment Results Matrix'!$R$247+'Equipment Results Matrix'!$R$250+'Equipment Results Matrix'!$T$252)*(1+'Equipment Results Matrix'!$T$254)</f>
        <v>50883.943629513757</v>
      </c>
      <c r="E18" s="44">
        <f>D18*Inflation!$D$3</f>
        <v>54862.740650382155</v>
      </c>
      <c r="F18" s="6">
        <f>(($B18*'Equipment Results Matrix'!$R$245)+('Equipment Results Matrix'!$R$246*F$16)+'Equipment Results Matrix'!$R$247+'Equipment Results Matrix'!$R$250+'Equipment Results Matrix'!$T$252)*(1+'Equipment Results Matrix'!$T$254)</f>
        <v>57240.300758249999</v>
      </c>
      <c r="G18" s="6">
        <f>(($B18*'Equipment Results Matrix'!$R$245)+('Equipment Results Matrix'!$R$246*G$16)+'Equipment Results Matrix'!$R$247+'Equipment Results Matrix'!$R$250+'Equipment Results Matrix'!$T$252)*(1+'Equipment Results Matrix'!$T$254)</f>
        <v>62894.469498249979</v>
      </c>
      <c r="H18" s="6">
        <f>(($B18*'Equipment Results Matrix'!$R$245)+('Equipment Results Matrix'!$R$246*H$16)+'Equipment Results Matrix'!$R$247+'Equipment Results Matrix'!$R$250+'Equipment Results Matrix'!$T$252)*(1+'Equipment Results Matrix'!$T$254)</f>
        <v>67135.096053250003</v>
      </c>
      <c r="I18" s="6">
        <f>(($B18*'Equipment Results Matrix'!$R$245)+('Equipment Results Matrix'!$R$246*I$16)+'Equipment Results Matrix'!$R$247+'Equipment Results Matrix'!$R$250+'Equipment Results Matrix'!$T$252)*(1+'Equipment Results Matrix'!$T$254)</f>
        <v>69962.180423249971</v>
      </c>
      <c r="J18" s="43">
        <f>F18*Inflation!$D$3</f>
        <v>61716.124011824199</v>
      </c>
      <c r="K18" s="43">
        <f>G18*Inflation!$D$3</f>
        <v>67812.412370185484</v>
      </c>
      <c r="L18" s="43">
        <f>H18*Inflation!$D$3</f>
        <v>72384.628638956507</v>
      </c>
      <c r="M18" s="43">
        <f>I18*Inflation!$D$3</f>
        <v>75432.77281813712</v>
      </c>
      <c r="O18" s="255">
        <f t="shared" ref="O18:O21" si="11">(F18-$D18)/$B18</f>
        <v>63.563571287362429</v>
      </c>
      <c r="P18" s="255">
        <f t="shared" si="9"/>
        <v>120.10525868736222</v>
      </c>
      <c r="Q18" s="255">
        <f t="shared" si="9"/>
        <v>162.51152423736247</v>
      </c>
      <c r="R18" s="255">
        <f t="shared" si="9"/>
        <v>190.78236793736215</v>
      </c>
      <c r="S18" s="1469">
        <f t="shared" ref="S18:S21" si="12">(J18-$E18)/$B18</f>
        <v>68.533833614420431</v>
      </c>
      <c r="T18" s="1469">
        <f t="shared" si="10"/>
        <v>129.49671719803328</v>
      </c>
      <c r="U18" s="1469">
        <f t="shared" si="10"/>
        <v>175.21887988574352</v>
      </c>
      <c r="V18" s="1469">
        <f t="shared" si="10"/>
        <v>205.70032167754965</v>
      </c>
      <c r="X18" s="2188"/>
      <c r="Y18" s="1989" t="s">
        <v>242</v>
      </c>
      <c r="Z18" s="2">
        <v>100</v>
      </c>
      <c r="AA18" s="2">
        <f>'Labor Results Matrix'!$L$130*'Labor Adjustment'!$B$5</f>
        <v>213.22531681679305</v>
      </c>
      <c r="AB18" s="2">
        <f>AA18*Inflation!$D$3</f>
        <v>229.89816476862316</v>
      </c>
    </row>
    <row r="19" spans="1:28" ht="15" customHeight="1">
      <c r="A19" s="2182"/>
      <c r="B19" s="8">
        <v>150</v>
      </c>
      <c r="C19" s="50">
        <v>1.25496758</v>
      </c>
      <c r="D19" s="6">
        <f>((B19*'Equipment Results Matrix'!$R$245)+('Equipment Results Matrix'!$R$246*C19)+'Equipment Results Matrix'!$R$247+'Equipment Results Matrix'!$R$250+'Equipment Results Matrix'!$T$252)*(1+'Equipment Results Matrix'!$T$254)</f>
        <v>82439.481129513748</v>
      </c>
      <c r="E19" s="44">
        <f>D19*Inflation!$D$3</f>
        <v>88885.718164683189</v>
      </c>
      <c r="F19" s="6">
        <f>(($B19*'Equipment Results Matrix'!$R$245)+('Equipment Results Matrix'!$R$246*F$16)+'Equipment Results Matrix'!$R$247+'Equipment Results Matrix'!$R$250+'Equipment Results Matrix'!$T$252)*(1+'Equipment Results Matrix'!$T$254)</f>
        <v>88795.838258249991</v>
      </c>
      <c r="G19" s="6">
        <f>(($B19*'Equipment Results Matrix'!$R$245)+('Equipment Results Matrix'!$R$246*G$16)+'Equipment Results Matrix'!$R$247+'Equipment Results Matrix'!$R$250+'Equipment Results Matrix'!$T$252)*(1+'Equipment Results Matrix'!$T$254)</f>
        <v>94450.00699824997</v>
      </c>
      <c r="H19" s="6">
        <f>(($B19*'Equipment Results Matrix'!$R$245)+('Equipment Results Matrix'!$R$246*H$16)+'Equipment Results Matrix'!$R$247+'Equipment Results Matrix'!$R$250+'Equipment Results Matrix'!$T$252)*(1+'Equipment Results Matrix'!$T$254)</f>
        <v>98690.633553249994</v>
      </c>
      <c r="I19" s="6">
        <f>(($B19*'Equipment Results Matrix'!$R$245)+('Equipment Results Matrix'!$R$246*I$16)+'Equipment Results Matrix'!$R$247+'Equipment Results Matrix'!$R$250+'Equipment Results Matrix'!$T$252)*(1+'Equipment Results Matrix'!$T$254)</f>
        <v>101517.71792324996</v>
      </c>
      <c r="J19" s="43">
        <f>F19*Inflation!$D$3</f>
        <v>95739.101526125232</v>
      </c>
      <c r="K19" s="43">
        <f>G19*Inflation!$D$3</f>
        <v>101835.38988448653</v>
      </c>
      <c r="L19" s="43">
        <f>H19*Inflation!$D$3</f>
        <v>106407.60615325754</v>
      </c>
      <c r="M19" s="43">
        <f>I19*Inflation!$D$3</f>
        <v>109455.75033243815</v>
      </c>
      <c r="O19" s="255">
        <f t="shared" si="11"/>
        <v>42.37571419157495</v>
      </c>
      <c r="P19" s="255">
        <f t="shared" si="9"/>
        <v>80.070172458241487</v>
      </c>
      <c r="Q19" s="255">
        <f t="shared" si="9"/>
        <v>108.34101615824164</v>
      </c>
      <c r="R19" s="255">
        <f t="shared" si="9"/>
        <v>127.18824529157476</v>
      </c>
      <c r="S19" s="1469">
        <f t="shared" si="12"/>
        <v>45.689222409613627</v>
      </c>
      <c r="T19" s="1469">
        <f t="shared" si="10"/>
        <v>86.331144798688953</v>
      </c>
      <c r="U19" s="1469">
        <f t="shared" si="10"/>
        <v>116.81258659049568</v>
      </c>
      <c r="V19" s="1469">
        <f t="shared" si="10"/>
        <v>137.1335477850331</v>
      </c>
      <c r="X19" s="2188"/>
      <c r="Y19" s="1989"/>
      <c r="Z19" s="2">
        <v>200</v>
      </c>
      <c r="AA19" s="2">
        <f>'Labor Results Matrix'!$L$131*'Labor Adjustment'!$B$5</f>
        <v>154.95045128036264</v>
      </c>
      <c r="AB19" s="2">
        <f>AA19*Inflation!$D$3</f>
        <v>167.06657966902253</v>
      </c>
    </row>
    <row r="20" spans="1:28" ht="15" customHeight="1">
      <c r="A20" s="2182"/>
      <c r="B20" s="8">
        <v>200</v>
      </c>
      <c r="C20" s="50">
        <v>1.25496758</v>
      </c>
      <c r="D20" s="6">
        <f>((B20*'Equipment Results Matrix'!$R$245)+('Equipment Results Matrix'!$R$246*C20)+'Equipment Results Matrix'!$R$247+'Equipment Results Matrix'!$R$250+'Equipment Results Matrix'!$T$252)*(1+'Equipment Results Matrix'!$T$254)</f>
        <v>113995.01862951377</v>
      </c>
      <c r="E20" s="44">
        <f>D20*Inflation!$D$3</f>
        <v>122908.69567898427</v>
      </c>
      <c r="F20" s="6">
        <f>(($B20*'Equipment Results Matrix'!$R$245)+('Equipment Results Matrix'!$R$246*F$16)+'Equipment Results Matrix'!$R$247+'Equipment Results Matrix'!$R$250+'Equipment Results Matrix'!$T$252)*(1+'Equipment Results Matrix'!$T$254)</f>
        <v>120351.37575825</v>
      </c>
      <c r="G20" s="6">
        <f>(($B20*'Equipment Results Matrix'!$R$245)+('Equipment Results Matrix'!$R$246*G$16)+'Equipment Results Matrix'!$R$247+'Equipment Results Matrix'!$R$250+'Equipment Results Matrix'!$T$252)*(1+'Equipment Results Matrix'!$T$254)</f>
        <v>126005.54449824998</v>
      </c>
      <c r="H20" s="6">
        <f>(($B20*'Equipment Results Matrix'!$R$245)+('Equipment Results Matrix'!$R$246*H$16)+'Equipment Results Matrix'!$R$247+'Equipment Results Matrix'!$R$250+'Equipment Results Matrix'!$T$252)*(1+'Equipment Results Matrix'!$T$254)</f>
        <v>130246.17105325</v>
      </c>
      <c r="I20" s="6">
        <f>(($B20*'Equipment Results Matrix'!$R$245)+('Equipment Results Matrix'!$R$246*I$16)+'Equipment Results Matrix'!$R$247+'Equipment Results Matrix'!$R$250+'Equipment Results Matrix'!$T$252)*(1+'Equipment Results Matrix'!$T$254)</f>
        <v>133073.25542324997</v>
      </c>
      <c r="J20" s="43">
        <f>F20*Inflation!$D$3</f>
        <v>129762.0790404263</v>
      </c>
      <c r="K20" s="43">
        <f>G20*Inflation!$D$3</f>
        <v>135858.36739878758</v>
      </c>
      <c r="L20" s="43">
        <f>H20*Inflation!$D$3</f>
        <v>140430.58366755859</v>
      </c>
      <c r="M20" s="43">
        <f>I20*Inflation!$D$3</f>
        <v>143478.7278467392</v>
      </c>
      <c r="O20" s="255">
        <f t="shared" si="11"/>
        <v>31.781785643681143</v>
      </c>
      <c r="P20" s="255">
        <f t="shared" si="9"/>
        <v>60.052629343681041</v>
      </c>
      <c r="Q20" s="255">
        <f t="shared" si="9"/>
        <v>81.255762118681162</v>
      </c>
      <c r="R20" s="255">
        <f t="shared" si="9"/>
        <v>95.391183968680991</v>
      </c>
      <c r="S20" s="1469">
        <f t="shared" si="12"/>
        <v>34.266916807210144</v>
      </c>
      <c r="T20" s="1469">
        <f t="shared" si="10"/>
        <v>64.748358599016569</v>
      </c>
      <c r="U20" s="1469">
        <f t="shared" si="10"/>
        <v>87.609439942871617</v>
      </c>
      <c r="V20" s="1469">
        <f t="shared" si="10"/>
        <v>102.85016083877468</v>
      </c>
      <c r="X20" s="2188"/>
      <c r="Y20" s="1989"/>
      <c r="Z20" s="2">
        <v>300</v>
      </c>
      <c r="AA20" s="2">
        <f>'Labor Results Matrix'!$L$132*'Labor Adjustment'!$B$5</f>
        <v>147.19887673119982</v>
      </c>
      <c r="AB20" s="2">
        <f>AA20*Inflation!$D$3</f>
        <v>158.70888186125757</v>
      </c>
    </row>
    <row r="21" spans="1:28">
      <c r="A21" s="2182"/>
      <c r="B21" s="8">
        <v>400</v>
      </c>
      <c r="C21" s="50">
        <v>1.25496758</v>
      </c>
      <c r="D21" s="6">
        <f>((B21*'Equipment Results Matrix'!$R$245)+('Equipment Results Matrix'!$R$246*C21)+'Equipment Results Matrix'!$R$247+'Equipment Results Matrix'!$R$250+'Equipment Results Matrix'!$T$252)*(1+'Equipment Results Matrix'!$T$254)</f>
        <v>240217.16862951376</v>
      </c>
      <c r="E21" s="44">
        <f>D21*Inflation!$D$3</f>
        <v>259000.60573618845</v>
      </c>
      <c r="F21" s="6">
        <f>(($B21*'Equipment Results Matrix'!$R$245)+('Equipment Results Matrix'!$R$246*F$16)+'Equipment Results Matrix'!$R$247+'Equipment Results Matrix'!$R$250+'Equipment Results Matrix'!$T$252)*(1+'Equipment Results Matrix'!$T$254)</f>
        <v>246573.52575825001</v>
      </c>
      <c r="G21" s="6">
        <f>(($B21*'Equipment Results Matrix'!$R$245)+('Equipment Results Matrix'!$R$246*G$16)+'Equipment Results Matrix'!$R$247+'Equipment Results Matrix'!$R$250+'Equipment Results Matrix'!$T$252)*(1+'Equipment Results Matrix'!$T$254)</f>
        <v>252227.69449824997</v>
      </c>
      <c r="H21" s="6">
        <f>(($B21*'Equipment Results Matrix'!$R$245)+('Equipment Results Matrix'!$R$246*H$16)+'Equipment Results Matrix'!$R$247+'Equipment Results Matrix'!$R$250+'Equipment Results Matrix'!$T$252)*(1+'Equipment Results Matrix'!$T$254)</f>
        <v>256468.32105324999</v>
      </c>
      <c r="I21" s="6">
        <f>(($B21*'Equipment Results Matrix'!$R$245)+('Equipment Results Matrix'!$R$246*I$16)+'Equipment Results Matrix'!$R$247+'Equipment Results Matrix'!$R$250+'Equipment Results Matrix'!$T$252)*(1+'Equipment Results Matrix'!$T$254)</f>
        <v>259295.40542324999</v>
      </c>
      <c r="J21" s="43">
        <f>F21*Inflation!$D$3</f>
        <v>265853.98909763049</v>
      </c>
      <c r="K21" s="43">
        <f>G21*Inflation!$D$3</f>
        <v>271950.27745599177</v>
      </c>
      <c r="L21" s="43">
        <f>H21*Inflation!$D$3</f>
        <v>276522.49372476275</v>
      </c>
      <c r="M21" s="43">
        <f>I21*Inflation!$D$3</f>
        <v>279570.63790394343</v>
      </c>
      <c r="O21" s="255">
        <f t="shared" si="11"/>
        <v>15.890892821840607</v>
      </c>
      <c r="P21" s="255">
        <f t="shared" si="9"/>
        <v>30.02631467184052</v>
      </c>
      <c r="Q21" s="255">
        <f t="shared" si="9"/>
        <v>40.627881059340581</v>
      </c>
      <c r="R21" s="255">
        <f t="shared" si="9"/>
        <v>47.695591984340574</v>
      </c>
      <c r="S21" s="1469">
        <f t="shared" si="12"/>
        <v>17.133458403605108</v>
      </c>
      <c r="T21" s="1469">
        <f t="shared" si="10"/>
        <v>32.37417929950832</v>
      </c>
      <c r="U21" s="1469">
        <f t="shared" si="10"/>
        <v>43.804719971435773</v>
      </c>
      <c r="V21" s="1469">
        <f t="shared" si="10"/>
        <v>51.425080419387449</v>
      </c>
    </row>
    <row r="22" spans="1:28" ht="16.2">
      <c r="A22" s="2182"/>
      <c r="B22" s="2229" t="s">
        <v>160</v>
      </c>
      <c r="C22" s="2230"/>
      <c r="D22" s="2230"/>
      <c r="E22" s="2230"/>
      <c r="F22" s="2230"/>
      <c r="G22" s="2230"/>
      <c r="H22" s="2230"/>
      <c r="I22" s="2230"/>
      <c r="J22" s="2230"/>
      <c r="K22" s="2230"/>
      <c r="L22" s="2230"/>
      <c r="M22" s="2230"/>
      <c r="N22" s="2230"/>
      <c r="O22" s="2230"/>
      <c r="P22" s="2230"/>
      <c r="Q22" s="2230"/>
      <c r="R22" s="2230"/>
      <c r="S22" s="2230"/>
      <c r="T22" s="2230"/>
      <c r="U22" s="2230"/>
      <c r="V22" s="2230"/>
    </row>
    <row r="23" spans="1:28" ht="15" customHeight="1">
      <c r="A23" s="2182"/>
      <c r="B23" s="2160" t="s">
        <v>31</v>
      </c>
      <c r="C23" s="2160" t="s">
        <v>37</v>
      </c>
      <c r="D23" s="2160" t="s">
        <v>44</v>
      </c>
      <c r="E23" s="2160" t="s">
        <v>113</v>
      </c>
      <c r="F23" s="2160" t="s">
        <v>235</v>
      </c>
      <c r="G23" s="2160"/>
      <c r="H23" s="2160"/>
      <c r="I23" s="2160"/>
      <c r="J23" s="2160" t="s">
        <v>236</v>
      </c>
      <c r="K23" s="2160"/>
      <c r="L23" s="2160"/>
      <c r="M23" s="2160"/>
      <c r="O23" s="2160" t="s">
        <v>1797</v>
      </c>
      <c r="P23" s="2160"/>
      <c r="Q23" s="2160"/>
      <c r="R23" s="2160"/>
      <c r="S23" s="2160"/>
      <c r="T23" s="2160"/>
      <c r="U23" s="2160"/>
      <c r="V23" s="2160"/>
    </row>
    <row r="24" spans="1:28">
      <c r="A24" s="2182"/>
      <c r="B24" s="2160"/>
      <c r="C24" s="2160"/>
      <c r="D24" s="2160"/>
      <c r="E24" s="2160"/>
      <c r="F24" s="2160" t="s">
        <v>229</v>
      </c>
      <c r="G24" s="2160"/>
      <c r="H24" s="2160"/>
      <c r="I24" s="2160"/>
      <c r="J24" s="2160" t="s">
        <v>229</v>
      </c>
      <c r="K24" s="2160"/>
      <c r="L24" s="2160"/>
      <c r="M24" s="2160"/>
      <c r="O24" s="2160" t="s">
        <v>229</v>
      </c>
      <c r="P24" s="2160"/>
      <c r="Q24" s="2160"/>
      <c r="R24" s="2160"/>
      <c r="S24" s="2160" t="s">
        <v>229</v>
      </c>
      <c r="T24" s="2160"/>
      <c r="U24" s="2160"/>
      <c r="V24" s="2160"/>
    </row>
    <row r="25" spans="1:28" ht="15">
      <c r="A25" s="2182"/>
      <c r="B25" s="2160"/>
      <c r="C25" s="2160"/>
      <c r="D25" s="2160"/>
      <c r="E25" s="2160"/>
      <c r="F25" s="1480">
        <v>1.21</v>
      </c>
      <c r="G25" s="1480">
        <v>1.17</v>
      </c>
      <c r="H25" s="1480">
        <v>1.1399999999999999</v>
      </c>
      <c r="I25" s="1498">
        <v>1.1200000000000001</v>
      </c>
      <c r="J25" s="1480">
        <v>1.21</v>
      </c>
      <c r="K25" s="1480">
        <v>1.17</v>
      </c>
      <c r="L25" s="1480">
        <v>1.1399999999999999</v>
      </c>
      <c r="M25" s="1498">
        <v>1.1200000000000001</v>
      </c>
      <c r="O25" s="1480">
        <v>1.21</v>
      </c>
      <c r="P25" s="1480">
        <v>1.17</v>
      </c>
      <c r="Q25" s="1480">
        <v>1.1399999999999999</v>
      </c>
      <c r="R25" s="1498">
        <v>1.1200000000000001</v>
      </c>
      <c r="S25" s="1480">
        <v>1.21</v>
      </c>
      <c r="T25" s="1480">
        <v>1.17</v>
      </c>
      <c r="U25" s="1480">
        <v>1.1399999999999999</v>
      </c>
      <c r="V25" s="1498">
        <v>1.1200000000000001</v>
      </c>
    </row>
    <row r="26" spans="1:28">
      <c r="A26" s="2182"/>
      <c r="B26" s="8">
        <v>50</v>
      </c>
      <c r="C26" s="50">
        <v>1.1879999999999999</v>
      </c>
      <c r="D26" s="6">
        <f>((B26*'Equipment Results Matrix'!$R$245)+('Equipment Results Matrix'!$R$246*C26)+'Equipment Results Matrix'!$R$247+'Equipment Results Matrix'!$R$250+'Equipment Results Matrix'!$T$252)*(1+'Equipment Results Matrix'!$T$254)</f>
        <v>28794.556065249999</v>
      </c>
      <c r="E26" s="44">
        <f>D26*Inflation!$D$3</f>
        <v>31046.105094621871</v>
      </c>
      <c r="F26" s="8" t="s">
        <v>35</v>
      </c>
      <c r="G26" s="6">
        <f>(($B26*'Equipment Results Matrix'!$R$245)+('Equipment Results Matrix'!$R$246*G$16)+'Equipment Results Matrix'!$R$247+'Equipment Results Matrix'!$R$250+'Equipment Results Matrix'!$T$252)*(1+'Equipment Results Matrix'!$T$254)</f>
        <v>31338.931998249973</v>
      </c>
      <c r="H26" s="6">
        <f>(($B26*'Equipment Results Matrix'!$R$245)+('Equipment Results Matrix'!$R$246*H$16)+'Equipment Results Matrix'!$R$247+'Equipment Results Matrix'!$R$250+'Equipment Results Matrix'!$T$252)*(1+'Equipment Results Matrix'!$T$254)</f>
        <v>35579.55855324999</v>
      </c>
      <c r="I26" s="6">
        <f>(($B26*'Equipment Results Matrix'!$R$245)+('Equipment Results Matrix'!$R$246*I$16)+'Equipment Results Matrix'!$R$247+'Equipment Results Matrix'!$R$250+'Equipment Results Matrix'!$T$252)*(1+'Equipment Results Matrix'!$T$254)</f>
        <v>38406.642923249965</v>
      </c>
      <c r="J26" s="42" t="s">
        <v>35</v>
      </c>
      <c r="K26" s="43">
        <f>G26*Inflation!$D$3</f>
        <v>33789.434855884436</v>
      </c>
      <c r="L26" s="43">
        <f>H26*Inflation!$D$3</f>
        <v>38361.651124655436</v>
      </c>
      <c r="M26" s="43">
        <f>I26*Inflation!$D$3</f>
        <v>41409.795303836072</v>
      </c>
      <c r="O26" s="8" t="s">
        <v>35</v>
      </c>
      <c r="P26" s="255">
        <f>(G26-$D26)/$B26</f>
        <v>50.887518659999479</v>
      </c>
      <c r="Q26" s="255">
        <f t="shared" ref="Q26:R26" si="13">(H26-$D26)/$B26</f>
        <v>135.70004975999981</v>
      </c>
      <c r="R26" s="255">
        <f t="shared" si="13"/>
        <v>192.24173715999933</v>
      </c>
      <c r="S26" s="1470" t="s">
        <v>35</v>
      </c>
      <c r="T26" s="1469">
        <f>(K26-$E26)/$B26</f>
        <v>54.866595225251295</v>
      </c>
      <c r="U26" s="1469">
        <f t="shared" ref="U26:V26" si="14">(L26-$E26)/$B26</f>
        <v>146.3109206006713</v>
      </c>
      <c r="V26" s="1469">
        <f t="shared" si="14"/>
        <v>207.27380418428402</v>
      </c>
    </row>
    <row r="27" spans="1:28">
      <c r="A27" s="2182"/>
      <c r="B27" s="8">
        <v>100</v>
      </c>
      <c r="C27" s="50">
        <v>1.1879999999999999</v>
      </c>
      <c r="D27" s="6">
        <f>((B27*'Equipment Results Matrix'!$R$245)+('Equipment Results Matrix'!$R$246*C27)+'Equipment Results Matrix'!$R$247+'Equipment Results Matrix'!$R$250+'Equipment Results Matrix'!$T$252)*(1+'Equipment Results Matrix'!$T$254)</f>
        <v>60350.093565250005</v>
      </c>
      <c r="E27" s="44">
        <f>D27*Inflation!$D$3</f>
        <v>65069.082608922923</v>
      </c>
      <c r="F27" s="8" t="s">
        <v>35</v>
      </c>
      <c r="G27" s="6">
        <f>(($B27*'Equipment Results Matrix'!$R$245)+('Equipment Results Matrix'!$R$246*G$16)+'Equipment Results Matrix'!$R$247+'Equipment Results Matrix'!$R$250+'Equipment Results Matrix'!$T$252)*(1+'Equipment Results Matrix'!$T$254)</f>
        <v>62894.469498249979</v>
      </c>
      <c r="H27" s="6">
        <f>(($B27*'Equipment Results Matrix'!$R$245)+('Equipment Results Matrix'!$R$246*H$16)+'Equipment Results Matrix'!$R$247+'Equipment Results Matrix'!$R$250+'Equipment Results Matrix'!$T$252)*(1+'Equipment Results Matrix'!$T$254)</f>
        <v>67135.096053250003</v>
      </c>
      <c r="I27" s="6">
        <f>(($B27*'Equipment Results Matrix'!$R$245)+('Equipment Results Matrix'!$R$246*I$16)+'Equipment Results Matrix'!$R$247+'Equipment Results Matrix'!$R$250+'Equipment Results Matrix'!$T$252)*(1+'Equipment Results Matrix'!$T$254)</f>
        <v>69962.180423249971</v>
      </c>
      <c r="J27" s="42" t="s">
        <v>35</v>
      </c>
      <c r="K27" s="43">
        <f>G27*Inflation!$D$3</f>
        <v>67812.412370185484</v>
      </c>
      <c r="L27" s="43">
        <f>H27*Inflation!$D$3</f>
        <v>72384.628638956507</v>
      </c>
      <c r="M27" s="43">
        <f>I27*Inflation!$D$3</f>
        <v>75432.77281813712</v>
      </c>
      <c r="O27" s="8" t="s">
        <v>35</v>
      </c>
      <c r="P27" s="255">
        <f t="shared" ref="P27:P30" si="15">(G27-$D27)/$B27</f>
        <v>25.44375932999974</v>
      </c>
      <c r="Q27" s="255">
        <f t="shared" ref="Q27:Q30" si="16">(H27-$D27)/$B27</f>
        <v>67.850024879999978</v>
      </c>
      <c r="R27" s="255">
        <f t="shared" ref="R27:R30" si="17">(I27-$D27)/$B27</f>
        <v>96.120868579999666</v>
      </c>
      <c r="S27" s="1470" t="s">
        <v>35</v>
      </c>
      <c r="T27" s="1469">
        <f t="shared" ref="T27:T30" si="18">(K27-$E27)/$B27</f>
        <v>27.433297612625612</v>
      </c>
      <c r="U27" s="1469">
        <f t="shared" ref="U27:U30" si="19">(L27-$E27)/$B27</f>
        <v>73.155460300335832</v>
      </c>
      <c r="V27" s="1469">
        <f t="shared" ref="V27:V30" si="20">(M27-$E27)/$B27</f>
        <v>103.63690209214197</v>
      </c>
    </row>
    <row r="28" spans="1:28">
      <c r="A28" s="2182"/>
      <c r="B28" s="8">
        <v>150</v>
      </c>
      <c r="C28" s="50">
        <v>1.1879999999999999</v>
      </c>
      <c r="D28" s="6">
        <f>((B28*'Equipment Results Matrix'!$R$245)+('Equipment Results Matrix'!$R$246*C28)+'Equipment Results Matrix'!$R$247+'Equipment Results Matrix'!$R$250+'Equipment Results Matrix'!$T$252)*(1+'Equipment Results Matrix'!$T$254)</f>
        <v>91905.631065249996</v>
      </c>
      <c r="E28" s="44">
        <f>D28*Inflation!$D$3</f>
        <v>99092.060123223957</v>
      </c>
      <c r="F28" s="8" t="s">
        <v>35</v>
      </c>
      <c r="G28" s="6">
        <f>(($B28*'Equipment Results Matrix'!$R$245)+('Equipment Results Matrix'!$R$246*G$16)+'Equipment Results Matrix'!$R$247+'Equipment Results Matrix'!$R$250+'Equipment Results Matrix'!$T$252)*(1+'Equipment Results Matrix'!$T$254)</f>
        <v>94450.00699824997</v>
      </c>
      <c r="H28" s="6">
        <f>(($B28*'Equipment Results Matrix'!$R$245)+('Equipment Results Matrix'!$R$246*H$16)+'Equipment Results Matrix'!$R$247+'Equipment Results Matrix'!$R$250+'Equipment Results Matrix'!$T$252)*(1+'Equipment Results Matrix'!$T$254)</f>
        <v>98690.633553249994</v>
      </c>
      <c r="I28" s="6">
        <f>(($B28*'Equipment Results Matrix'!$R$245)+('Equipment Results Matrix'!$R$246*I$16)+'Equipment Results Matrix'!$R$247+'Equipment Results Matrix'!$R$250+'Equipment Results Matrix'!$T$252)*(1+'Equipment Results Matrix'!$T$254)</f>
        <v>101517.71792324996</v>
      </c>
      <c r="J28" s="42" t="s">
        <v>35</v>
      </c>
      <c r="K28" s="43">
        <f>G28*Inflation!$D$3</f>
        <v>101835.38988448653</v>
      </c>
      <c r="L28" s="43">
        <f>H28*Inflation!$D$3</f>
        <v>106407.60615325754</v>
      </c>
      <c r="M28" s="43">
        <f>I28*Inflation!$D$3</f>
        <v>109455.75033243815</v>
      </c>
      <c r="O28" s="8" t="s">
        <v>35</v>
      </c>
      <c r="P28" s="255">
        <f t="shared" si="15"/>
        <v>16.962506219999828</v>
      </c>
      <c r="Q28" s="255">
        <f t="shared" si="16"/>
        <v>45.233349919999988</v>
      </c>
      <c r="R28" s="255">
        <f t="shared" si="17"/>
        <v>64.080579053333111</v>
      </c>
      <c r="S28" s="1470" t="s">
        <v>35</v>
      </c>
      <c r="T28" s="1469">
        <f t="shared" si="18"/>
        <v>18.288865075083837</v>
      </c>
      <c r="U28" s="1469">
        <f t="shared" si="19"/>
        <v>48.770306866890557</v>
      </c>
      <c r="V28" s="1469">
        <f t="shared" si="20"/>
        <v>69.091268061427982</v>
      </c>
    </row>
    <row r="29" spans="1:28">
      <c r="A29" s="2182"/>
      <c r="B29" s="8">
        <v>200</v>
      </c>
      <c r="C29" s="50">
        <v>1.1879999999999999</v>
      </c>
      <c r="D29" s="6">
        <f>((B29*'Equipment Results Matrix'!$R$245)+('Equipment Results Matrix'!$R$246*C29)+'Equipment Results Matrix'!$R$247+'Equipment Results Matrix'!$R$250+'Equipment Results Matrix'!$T$252)*(1+'Equipment Results Matrix'!$T$254)</f>
        <v>123461.16856525</v>
      </c>
      <c r="E29" s="44">
        <f>D29*Inflation!$D$3</f>
        <v>133115.03763752501</v>
      </c>
      <c r="F29" s="8" t="s">
        <v>35</v>
      </c>
      <c r="G29" s="6">
        <f>(($B29*'Equipment Results Matrix'!$R$245)+('Equipment Results Matrix'!$R$246*G$16)+'Equipment Results Matrix'!$R$247+'Equipment Results Matrix'!$R$250+'Equipment Results Matrix'!$T$252)*(1+'Equipment Results Matrix'!$T$254)</f>
        <v>126005.54449824998</v>
      </c>
      <c r="H29" s="6">
        <f>(($B29*'Equipment Results Matrix'!$R$245)+('Equipment Results Matrix'!$R$246*H$16)+'Equipment Results Matrix'!$R$247+'Equipment Results Matrix'!$R$250+'Equipment Results Matrix'!$T$252)*(1+'Equipment Results Matrix'!$T$254)</f>
        <v>130246.17105325</v>
      </c>
      <c r="I29" s="6">
        <f>(($B29*'Equipment Results Matrix'!$R$245)+('Equipment Results Matrix'!$R$246*I$16)+'Equipment Results Matrix'!$R$247+'Equipment Results Matrix'!$R$250+'Equipment Results Matrix'!$T$252)*(1+'Equipment Results Matrix'!$T$254)</f>
        <v>133073.25542324997</v>
      </c>
      <c r="J29" s="42" t="s">
        <v>35</v>
      </c>
      <c r="K29" s="43">
        <f>G29*Inflation!$D$3</f>
        <v>135858.36739878758</v>
      </c>
      <c r="L29" s="43">
        <f>H29*Inflation!$D$3</f>
        <v>140430.58366755859</v>
      </c>
      <c r="M29" s="43">
        <f>I29*Inflation!$D$3</f>
        <v>143478.7278467392</v>
      </c>
      <c r="O29" s="192" t="s">
        <v>35</v>
      </c>
      <c r="P29" s="255">
        <f t="shared" si="15"/>
        <v>12.72187966499987</v>
      </c>
      <c r="Q29" s="255">
        <f t="shared" si="16"/>
        <v>33.925012439999989</v>
      </c>
      <c r="R29" s="255">
        <f t="shared" si="17"/>
        <v>48.060434289999833</v>
      </c>
      <c r="S29" s="1470" t="s">
        <v>35</v>
      </c>
      <c r="T29" s="1469">
        <f t="shared" si="18"/>
        <v>13.716648806312879</v>
      </c>
      <c r="U29" s="1469">
        <f t="shared" si="19"/>
        <v>36.577730150167916</v>
      </c>
      <c r="V29" s="1469">
        <f t="shared" si="20"/>
        <v>51.818451046070983</v>
      </c>
      <c r="W29" s="203"/>
    </row>
    <row r="30" spans="1:28">
      <c r="A30" s="2182"/>
      <c r="B30" s="8">
        <v>400</v>
      </c>
      <c r="C30" s="50">
        <v>1.1879999999999999</v>
      </c>
      <c r="D30" s="6">
        <f>((B30*'Equipment Results Matrix'!$R$245)+('Equipment Results Matrix'!$R$246*C30)+'Equipment Results Matrix'!$R$247+'Equipment Results Matrix'!$R$250+'Equipment Results Matrix'!$T$252)*(1+'Equipment Results Matrix'!$T$254)</f>
        <v>249683.31856525003</v>
      </c>
      <c r="E30" s="44">
        <f>D30*Inflation!$D$3</f>
        <v>269206.94769472926</v>
      </c>
      <c r="F30" s="8" t="s">
        <v>35</v>
      </c>
      <c r="G30" s="6">
        <f>(($B30*'Equipment Results Matrix'!$R$245)+('Equipment Results Matrix'!$R$246*G$16)+'Equipment Results Matrix'!$R$247+'Equipment Results Matrix'!$R$250+'Equipment Results Matrix'!$T$252)*(1+'Equipment Results Matrix'!$T$254)</f>
        <v>252227.69449824997</v>
      </c>
      <c r="H30" s="6">
        <f>(($B30*'Equipment Results Matrix'!$R$245)+('Equipment Results Matrix'!$R$246*H$16)+'Equipment Results Matrix'!$R$247+'Equipment Results Matrix'!$R$250+'Equipment Results Matrix'!$T$252)*(1+'Equipment Results Matrix'!$T$254)</f>
        <v>256468.32105324999</v>
      </c>
      <c r="I30" s="6">
        <f>(($B30*'Equipment Results Matrix'!$R$245)+('Equipment Results Matrix'!$R$246*I$16)+'Equipment Results Matrix'!$R$247+'Equipment Results Matrix'!$R$250+'Equipment Results Matrix'!$T$252)*(1+'Equipment Results Matrix'!$T$254)</f>
        <v>259295.40542324999</v>
      </c>
      <c r="J30" s="42" t="s">
        <v>35</v>
      </c>
      <c r="K30" s="43">
        <f>G30*Inflation!$D$3</f>
        <v>271950.27745599177</v>
      </c>
      <c r="L30" s="43">
        <f>H30*Inflation!$D$3</f>
        <v>276522.49372476275</v>
      </c>
      <c r="M30" s="43">
        <f>I30*Inflation!$D$3</f>
        <v>279570.63790394343</v>
      </c>
      <c r="O30" s="8" t="s">
        <v>35</v>
      </c>
      <c r="P30" s="255">
        <f t="shared" si="15"/>
        <v>6.3609398324998621</v>
      </c>
      <c r="Q30" s="255">
        <f t="shared" si="16"/>
        <v>16.962506219999923</v>
      </c>
      <c r="R30" s="255">
        <f t="shared" si="17"/>
        <v>24.030217144999916</v>
      </c>
      <c r="S30" s="1471" t="s">
        <v>35</v>
      </c>
      <c r="T30" s="1469">
        <f t="shared" si="18"/>
        <v>6.8583244031562938</v>
      </c>
      <c r="U30" s="1469">
        <f t="shared" si="19"/>
        <v>18.288865075083741</v>
      </c>
      <c r="V30" s="1469">
        <f t="shared" si="20"/>
        <v>25.90922552303542</v>
      </c>
    </row>
    <row r="33" spans="1:22" ht="16.2">
      <c r="A33" s="2228" t="s">
        <v>159</v>
      </c>
      <c r="B33" s="2228"/>
      <c r="C33" s="2228"/>
      <c r="D33" s="2228"/>
      <c r="E33" s="2228"/>
      <c r="F33" s="2228"/>
      <c r="G33" s="2228"/>
      <c r="H33" s="2228"/>
      <c r="I33" s="2228"/>
      <c r="J33" s="2228"/>
      <c r="K33" s="2228"/>
      <c r="L33" s="2228"/>
      <c r="M33" s="2228"/>
      <c r="N33" s="2228"/>
      <c r="O33" s="2228"/>
      <c r="P33" s="2228"/>
      <c r="Q33" s="2228"/>
      <c r="R33" s="2228"/>
      <c r="S33" s="2228"/>
      <c r="T33" s="2228"/>
      <c r="U33" s="2228"/>
      <c r="V33" s="2228"/>
    </row>
    <row r="34" spans="1:22" ht="15" customHeight="1">
      <c r="A34" s="2226" t="s">
        <v>162</v>
      </c>
      <c r="B34" s="2160" t="s">
        <v>31</v>
      </c>
      <c r="C34" s="2160" t="s">
        <v>37</v>
      </c>
      <c r="D34" s="2160" t="s">
        <v>44</v>
      </c>
      <c r="E34" s="2160" t="s">
        <v>113</v>
      </c>
      <c r="F34" s="2160" t="s">
        <v>235</v>
      </c>
      <c r="G34" s="2160"/>
      <c r="H34" s="2160"/>
      <c r="I34" s="2160"/>
      <c r="J34" s="2180" t="s">
        <v>236</v>
      </c>
      <c r="K34" s="2180"/>
      <c r="L34" s="2180"/>
      <c r="M34" s="2180"/>
      <c r="O34" s="2175" t="s">
        <v>1797</v>
      </c>
      <c r="P34" s="2176"/>
      <c r="Q34" s="2176"/>
      <c r="R34" s="2176"/>
      <c r="S34" s="2176"/>
      <c r="T34" s="2176"/>
      <c r="U34" s="2176"/>
      <c r="V34" s="2193"/>
    </row>
    <row r="35" spans="1:22">
      <c r="A35" s="2227"/>
      <c r="B35" s="2160"/>
      <c r="C35" s="2160"/>
      <c r="D35" s="2160"/>
      <c r="E35" s="2160"/>
      <c r="F35" s="2160" t="s">
        <v>229</v>
      </c>
      <c r="G35" s="2160"/>
      <c r="H35" s="2160"/>
      <c r="I35" s="2160"/>
      <c r="J35" s="2160" t="s">
        <v>229</v>
      </c>
      <c r="K35" s="2160"/>
      <c r="L35" s="2160"/>
      <c r="M35" s="2160"/>
      <c r="O35" s="2183" t="s">
        <v>1798</v>
      </c>
      <c r="P35" s="2184"/>
      <c r="Q35" s="2184"/>
      <c r="R35" s="2185"/>
      <c r="S35" s="2183" t="s">
        <v>229</v>
      </c>
      <c r="T35" s="2184"/>
      <c r="U35" s="2184"/>
      <c r="V35" s="2185"/>
    </row>
    <row r="36" spans="1:22" ht="15">
      <c r="A36" s="2227"/>
      <c r="B36" s="2160"/>
      <c r="C36" s="2160"/>
      <c r="D36" s="2160"/>
      <c r="E36" s="2160"/>
      <c r="F36" s="1480">
        <v>1.21</v>
      </c>
      <c r="G36" s="1480">
        <v>1.17</v>
      </c>
      <c r="H36" s="1480">
        <v>1.1399999999999999</v>
      </c>
      <c r="I36" s="1498">
        <v>1.1200000000000001</v>
      </c>
      <c r="J36" s="26">
        <v>1.21</v>
      </c>
      <c r="K36" s="26">
        <v>1.17</v>
      </c>
      <c r="L36" s="26">
        <v>1.1399999999999999</v>
      </c>
      <c r="M36" s="49">
        <v>1.1200000000000001</v>
      </c>
      <c r="O36" s="26">
        <v>0.72</v>
      </c>
      <c r="P36" s="26">
        <v>0.68</v>
      </c>
      <c r="Q36" s="26">
        <v>0.64</v>
      </c>
      <c r="R36" s="26">
        <v>0.6</v>
      </c>
      <c r="S36" s="26">
        <v>0.72</v>
      </c>
      <c r="T36" s="26">
        <v>0.68</v>
      </c>
      <c r="U36" s="26">
        <v>0.64</v>
      </c>
      <c r="V36" s="26">
        <v>0.6</v>
      </c>
    </row>
    <row r="37" spans="1:22">
      <c r="A37" s="2227"/>
      <c r="B37" s="8">
        <v>50</v>
      </c>
      <c r="C37" s="50">
        <v>1.25496758</v>
      </c>
      <c r="D37" s="6">
        <f>((B37*'Equipment Results Matrix'!$R$245)+('Equipment Results Matrix'!$R$246*C37)+'Equipment Results Matrix'!$R$248+'Equipment Results Matrix'!$R$250+'Equipment Results Matrix'!$T$252)*(1+'Equipment Results Matrix'!$T$254)</f>
        <v>21975.906004513745</v>
      </c>
      <c r="E37" s="44">
        <f>D37*Inflation!$D$3</f>
        <v>23694.280468141747</v>
      </c>
      <c r="F37" s="8" t="s">
        <v>35</v>
      </c>
      <c r="G37" s="6">
        <f>(($B37*'Equipment Results Matrix'!$R$245)+('Equipment Results Matrix'!$R$246*G$36)+'Equipment Results Matrix'!$R$248+'Equipment Results Matrix'!$R$250+'Equipment Results Matrix'!$T$252)*(1+'Equipment Results Matrix'!$T$254)</f>
        <v>33986.431873249967</v>
      </c>
      <c r="H37" s="6">
        <f>(($B37*'Equipment Results Matrix'!$R$245)+('Equipment Results Matrix'!$R$246*H$36)+'Equipment Results Matrix'!$R$248+'Equipment Results Matrix'!$R$250+'Equipment Results Matrix'!$T$252)*(1+'Equipment Results Matrix'!$T$254)</f>
        <v>38227.058428249984</v>
      </c>
      <c r="I37" s="6">
        <f>(($B37*'Equipment Results Matrix'!$R$245)+('Equipment Results Matrix'!$R$246*I$36)+'Equipment Results Matrix'!$R$248+'Equipment Results Matrix'!$R$250+'Equipment Results Matrix'!$T$252)*(1+'Equipment Results Matrix'!$T$254)</f>
        <v>41054.142798249959</v>
      </c>
      <c r="J37" s="42" t="s">
        <v>35</v>
      </c>
      <c r="K37" s="43">
        <f>G37*Inflation!$D$3</f>
        <v>36643.952187945084</v>
      </c>
      <c r="L37" s="43">
        <f>H37*Inflation!$D$3</f>
        <v>41216.168456716085</v>
      </c>
      <c r="M37" s="43">
        <f>I37*Inflation!$D$3</f>
        <v>44264.312635896713</v>
      </c>
      <c r="O37" s="8" t="s">
        <v>35</v>
      </c>
      <c r="P37" s="9">
        <f>(G37-$D37)/$B37</f>
        <v>240.21051737472445</v>
      </c>
      <c r="Q37" s="9">
        <f t="shared" ref="Q37:R37" si="21">(H37-$D37)/$B37</f>
        <v>325.02304847472476</v>
      </c>
      <c r="R37" s="9">
        <f t="shared" si="21"/>
        <v>381.56473587472431</v>
      </c>
      <c r="S37" s="42" t="s">
        <v>35</v>
      </c>
      <c r="T37" s="31">
        <f>(K37-$E37)/$B37</f>
        <v>258.99343439606673</v>
      </c>
      <c r="U37" s="31">
        <f t="shared" ref="U37:V37" si="22">(L37-$E37)/$B37</f>
        <v>350.43775977148675</v>
      </c>
      <c r="V37" s="31">
        <f t="shared" si="22"/>
        <v>411.40064335509931</v>
      </c>
    </row>
    <row r="38" spans="1:22">
      <c r="A38" s="2227"/>
      <c r="B38" s="8">
        <v>100</v>
      </c>
      <c r="C38" s="50">
        <v>1.25496758</v>
      </c>
      <c r="D38" s="6">
        <f>((B38*'Equipment Results Matrix'!$R$245)+('Equipment Results Matrix'!$R$246*C38)+'Equipment Results Matrix'!$R$248+'Equipment Results Matrix'!$R$250+'Equipment Results Matrix'!$T$252)*(1+'Equipment Results Matrix'!$T$254)</f>
        <v>53531.443504513751</v>
      </c>
      <c r="E38" s="44">
        <f>D38*Inflation!$D$3</f>
        <v>57717.257982442803</v>
      </c>
      <c r="F38" s="8" t="s">
        <v>35</v>
      </c>
      <c r="G38" s="6">
        <f>(($B38*'Equipment Results Matrix'!$R$245)+('Equipment Results Matrix'!$R$246*G$36)+'Equipment Results Matrix'!$R$248+'Equipment Results Matrix'!$R$250+'Equipment Results Matrix'!$T$252)*(1+'Equipment Results Matrix'!$T$254)</f>
        <v>65541.969373249973</v>
      </c>
      <c r="H38" s="6">
        <f>(($B38*'Equipment Results Matrix'!$R$245)+('Equipment Results Matrix'!$R$246*H$36)+'Equipment Results Matrix'!$R$248+'Equipment Results Matrix'!$R$250+'Equipment Results Matrix'!$T$252)*(1+'Equipment Results Matrix'!$T$254)</f>
        <v>69782.595928249997</v>
      </c>
      <c r="I38" s="6">
        <f>(($B38*'Equipment Results Matrix'!$R$245)+('Equipment Results Matrix'!$R$246*I$36)+'Equipment Results Matrix'!$R$248+'Equipment Results Matrix'!$R$250+'Equipment Results Matrix'!$T$252)*(1+'Equipment Results Matrix'!$T$254)</f>
        <v>72609.680298249965</v>
      </c>
      <c r="J38" s="42" t="s">
        <v>35</v>
      </c>
      <c r="K38" s="43">
        <f>G38*Inflation!$D$3</f>
        <v>70666.92970224614</v>
      </c>
      <c r="L38" s="43">
        <f>H38*Inflation!$D$3</f>
        <v>75239.145971017148</v>
      </c>
      <c r="M38" s="43">
        <f>I38*Inflation!$D$3</f>
        <v>78287.290150197761</v>
      </c>
      <c r="O38" s="8" t="s">
        <v>35</v>
      </c>
      <c r="P38" s="9">
        <f t="shared" ref="P38:P41" si="23">(G38-$D38)/$B38</f>
        <v>120.10525868736222</v>
      </c>
      <c r="Q38" s="9">
        <f t="shared" ref="Q38:Q41" si="24">(H38-$D38)/$B38</f>
        <v>162.51152423736247</v>
      </c>
      <c r="R38" s="9">
        <f t="shared" ref="R38:R41" si="25">(I38-$D38)/$B38</f>
        <v>190.78236793736215</v>
      </c>
      <c r="S38" s="42" t="s">
        <v>35</v>
      </c>
      <c r="T38" s="31">
        <f t="shared" ref="T38:T41" si="26">(K38-$E38)/$B38</f>
        <v>129.49671719803337</v>
      </c>
      <c r="U38" s="31">
        <f t="shared" ref="U38:U41" si="27">(L38-$E38)/$B38</f>
        <v>175.21887988574343</v>
      </c>
      <c r="V38" s="31">
        <f t="shared" ref="V38:V41" si="28">(M38-$E38)/$B38</f>
        <v>205.7003216775496</v>
      </c>
    </row>
    <row r="39" spans="1:22">
      <c r="A39" s="2227"/>
      <c r="B39" s="8">
        <v>150</v>
      </c>
      <c r="C39" s="50">
        <v>1.25496758</v>
      </c>
      <c r="D39" s="6">
        <f>((B39*'Equipment Results Matrix'!$R$245)+('Equipment Results Matrix'!$R$246*C39)+'Equipment Results Matrix'!$R$248+'Equipment Results Matrix'!$R$250+'Equipment Results Matrix'!$T$252)*(1+'Equipment Results Matrix'!$T$254)</f>
        <v>85086.981004513742</v>
      </c>
      <c r="E39" s="44">
        <f>D39*Inflation!$D$3</f>
        <v>91740.235496743844</v>
      </c>
      <c r="F39" s="8" t="s">
        <v>35</v>
      </c>
      <c r="G39" s="6">
        <f>(($B39*'Equipment Results Matrix'!$R$245)+('Equipment Results Matrix'!$R$246*G$36)+'Equipment Results Matrix'!$R$248+'Equipment Results Matrix'!$R$250+'Equipment Results Matrix'!$T$252)*(1+'Equipment Results Matrix'!$T$254)</f>
        <v>97097.506873249979</v>
      </c>
      <c r="H39" s="6">
        <f>(($B39*'Equipment Results Matrix'!$R$245)+('Equipment Results Matrix'!$R$246*H$36)+'Equipment Results Matrix'!$R$248+'Equipment Results Matrix'!$R$250+'Equipment Results Matrix'!$T$252)*(1+'Equipment Results Matrix'!$T$254)</f>
        <v>101338.13342825</v>
      </c>
      <c r="I39" s="6">
        <f>(($B39*'Equipment Results Matrix'!$R$245)+('Equipment Results Matrix'!$R$246*I$36)+'Equipment Results Matrix'!$R$248+'Equipment Results Matrix'!$R$250+'Equipment Results Matrix'!$T$252)*(1+'Equipment Results Matrix'!$T$254)</f>
        <v>104165.21779824997</v>
      </c>
      <c r="J39" s="42" t="s">
        <v>35</v>
      </c>
      <c r="K39" s="43">
        <f>G39*Inflation!$D$3</f>
        <v>104689.90721654719</v>
      </c>
      <c r="L39" s="43">
        <f>H39*Inflation!$D$3</f>
        <v>109262.1234853182</v>
      </c>
      <c r="M39" s="43">
        <f>I39*Inflation!$D$3</f>
        <v>112310.26766449882</v>
      </c>
      <c r="O39" s="8" t="s">
        <v>35</v>
      </c>
      <c r="P39" s="9">
        <f t="shared" si="23"/>
        <v>80.070172458241572</v>
      </c>
      <c r="Q39" s="9">
        <f t="shared" si="24"/>
        <v>108.34101615824174</v>
      </c>
      <c r="R39" s="9">
        <f t="shared" si="25"/>
        <v>127.18824529157486</v>
      </c>
      <c r="S39" s="42" t="s">
        <v>35</v>
      </c>
      <c r="T39" s="31">
        <f t="shared" si="26"/>
        <v>86.331144798688953</v>
      </c>
      <c r="U39" s="31">
        <f t="shared" si="27"/>
        <v>116.81258659049568</v>
      </c>
      <c r="V39" s="31">
        <f t="shared" si="28"/>
        <v>137.13354778503319</v>
      </c>
    </row>
    <row r="40" spans="1:22">
      <c r="A40" s="2227"/>
      <c r="B40" s="8">
        <v>200</v>
      </c>
      <c r="C40" s="50">
        <v>1.25496758</v>
      </c>
      <c r="D40" s="6">
        <f>((B40*'Equipment Results Matrix'!$R$245)+('Equipment Results Matrix'!$R$246*C40)+'Equipment Results Matrix'!$R$248+'Equipment Results Matrix'!$R$250+'Equipment Results Matrix'!$T$252)*(1+'Equipment Results Matrix'!$T$254)</f>
        <v>116642.51850451375</v>
      </c>
      <c r="E40" s="44">
        <f>D40*Inflation!$D$3</f>
        <v>125763.21301104489</v>
      </c>
      <c r="F40" s="8" t="s">
        <v>35</v>
      </c>
      <c r="G40" s="6">
        <f>(($B40*'Equipment Results Matrix'!$R$245)+('Equipment Results Matrix'!$R$246*G$36)+'Equipment Results Matrix'!$R$248+'Equipment Results Matrix'!$R$250+'Equipment Results Matrix'!$T$252)*(1+'Equipment Results Matrix'!$T$254)</f>
        <v>128653.04437324998</v>
      </c>
      <c r="H40" s="6">
        <f>(($B40*'Equipment Results Matrix'!$R$245)+('Equipment Results Matrix'!$R$246*H$36)+'Equipment Results Matrix'!$R$248+'Equipment Results Matrix'!$R$250+'Equipment Results Matrix'!$T$252)*(1+'Equipment Results Matrix'!$T$254)</f>
        <v>132893.67092825001</v>
      </c>
      <c r="I40" s="6">
        <f>(($B40*'Equipment Results Matrix'!$R$245)+('Equipment Results Matrix'!$R$246*I$36)+'Equipment Results Matrix'!$R$248+'Equipment Results Matrix'!$R$250+'Equipment Results Matrix'!$T$252)*(1+'Equipment Results Matrix'!$T$254)</f>
        <v>135720.75529824998</v>
      </c>
      <c r="J40" s="42" t="s">
        <v>35</v>
      </c>
      <c r="K40" s="43">
        <f>G40*Inflation!$D$3</f>
        <v>138712.88473084825</v>
      </c>
      <c r="L40" s="43">
        <f>H40*Inflation!$D$3</f>
        <v>143285.10099961926</v>
      </c>
      <c r="M40" s="43">
        <f>I40*Inflation!$D$3</f>
        <v>146333.24517879987</v>
      </c>
      <c r="O40" s="8" t="s">
        <v>35</v>
      </c>
      <c r="P40" s="9">
        <f t="shared" si="23"/>
        <v>60.052629343681183</v>
      </c>
      <c r="Q40" s="9">
        <f t="shared" si="24"/>
        <v>81.255762118681304</v>
      </c>
      <c r="R40" s="9">
        <f t="shared" si="25"/>
        <v>95.391183968681148</v>
      </c>
      <c r="S40" s="42" t="s">
        <v>35</v>
      </c>
      <c r="T40" s="31">
        <f t="shared" si="26"/>
        <v>64.748358599016797</v>
      </c>
      <c r="U40" s="31">
        <f t="shared" si="27"/>
        <v>87.60943994287183</v>
      </c>
      <c r="V40" s="31">
        <f t="shared" si="28"/>
        <v>102.8501608387749</v>
      </c>
    </row>
    <row r="41" spans="1:22">
      <c r="A41" s="2227"/>
      <c r="B41" s="8">
        <v>400</v>
      </c>
      <c r="C41" s="50">
        <v>1.25496758</v>
      </c>
      <c r="D41" s="6">
        <f>((B41*'Equipment Results Matrix'!$R$245)+('Equipment Results Matrix'!$R$246*C41)+'Equipment Results Matrix'!$R$248+'Equipment Results Matrix'!$R$250+'Equipment Results Matrix'!$T$252)*(1+'Equipment Results Matrix'!$T$254)</f>
        <v>242864.66850451374</v>
      </c>
      <c r="E41" s="44">
        <f>D41*Inflation!$D$3</f>
        <v>261855.12306824909</v>
      </c>
      <c r="F41" s="8" t="s">
        <v>35</v>
      </c>
      <c r="G41" s="6">
        <f>(($B41*'Equipment Results Matrix'!$R$245)+('Equipment Results Matrix'!$R$246*G$36)+'Equipment Results Matrix'!$R$248+'Equipment Results Matrix'!$R$250+'Equipment Results Matrix'!$T$252)*(1+'Equipment Results Matrix'!$T$254)</f>
        <v>254875.19437324998</v>
      </c>
      <c r="H41" s="6">
        <f>(($B41*'Equipment Results Matrix'!$R$245)+('Equipment Results Matrix'!$R$246*H$36)+'Equipment Results Matrix'!$R$248+'Equipment Results Matrix'!$R$250+'Equipment Results Matrix'!$T$252)*(1+'Equipment Results Matrix'!$T$254)</f>
        <v>259115.82092825</v>
      </c>
      <c r="I41" s="6">
        <f>(($B41*'Equipment Results Matrix'!$R$245)+('Equipment Results Matrix'!$R$246*I$36)+'Equipment Results Matrix'!$R$248+'Equipment Results Matrix'!$R$250+'Equipment Results Matrix'!$T$252)*(1+'Equipment Results Matrix'!$T$254)</f>
        <v>261942.90529824997</v>
      </c>
      <c r="J41" s="42" t="s">
        <v>35</v>
      </c>
      <c r="K41" s="43">
        <f>G41*Inflation!$D$3</f>
        <v>274804.79478805244</v>
      </c>
      <c r="L41" s="43">
        <f>H41*Inflation!$D$3</f>
        <v>279377.01105682342</v>
      </c>
      <c r="M41" s="43">
        <f>I41*Inflation!$D$3</f>
        <v>282425.15523600404</v>
      </c>
      <c r="O41" s="8" t="s">
        <v>35</v>
      </c>
      <c r="P41" s="9">
        <f t="shared" si="23"/>
        <v>30.026314671840591</v>
      </c>
      <c r="Q41" s="9">
        <f t="shared" si="24"/>
        <v>40.627881059340652</v>
      </c>
      <c r="R41" s="9">
        <f t="shared" si="25"/>
        <v>47.695591984340574</v>
      </c>
      <c r="S41" s="42" t="s">
        <v>35</v>
      </c>
      <c r="T41" s="31">
        <f t="shared" si="26"/>
        <v>32.374179299508398</v>
      </c>
      <c r="U41" s="31">
        <f t="shared" si="27"/>
        <v>43.804719971435844</v>
      </c>
      <c r="V41" s="31">
        <f t="shared" si="28"/>
        <v>51.425080419387378</v>
      </c>
    </row>
    <row r="42" spans="1:22" ht="16.2">
      <c r="A42" s="2182"/>
      <c r="B42" s="2228" t="s">
        <v>160</v>
      </c>
      <c r="C42" s="2228"/>
      <c r="D42" s="2228"/>
      <c r="E42" s="2228"/>
      <c r="F42" s="2228"/>
      <c r="G42" s="2228"/>
      <c r="H42" s="2228"/>
      <c r="I42" s="2228"/>
      <c r="J42" s="2228"/>
      <c r="K42" s="2228"/>
      <c r="L42" s="2228"/>
      <c r="M42" s="2228"/>
      <c r="N42" s="2228"/>
      <c r="O42" s="2228"/>
      <c r="P42" s="2228"/>
      <c r="Q42" s="2228"/>
      <c r="R42" s="2228"/>
      <c r="S42" s="2228"/>
      <c r="T42" s="2228"/>
      <c r="U42" s="2228"/>
      <c r="V42" s="2228"/>
    </row>
    <row r="43" spans="1:22" ht="15" customHeight="1">
      <c r="A43" s="2227"/>
      <c r="B43" s="2160" t="s">
        <v>31</v>
      </c>
      <c r="C43" s="2160" t="s">
        <v>37</v>
      </c>
      <c r="D43" s="2160" t="s">
        <v>44</v>
      </c>
      <c r="E43" s="2160" t="s">
        <v>113</v>
      </c>
      <c r="F43" s="2160" t="s">
        <v>235</v>
      </c>
      <c r="G43" s="2160"/>
      <c r="H43" s="2160"/>
      <c r="I43" s="2160"/>
      <c r="J43" s="2180" t="s">
        <v>236</v>
      </c>
      <c r="K43" s="2180"/>
      <c r="L43" s="2180"/>
      <c r="M43" s="2180"/>
      <c r="O43" s="2175" t="s">
        <v>1797</v>
      </c>
      <c r="P43" s="2176"/>
      <c r="Q43" s="2176"/>
      <c r="R43" s="2176"/>
      <c r="S43" s="2176"/>
      <c r="T43" s="2176"/>
      <c r="U43" s="2176"/>
      <c r="V43" s="2193"/>
    </row>
    <row r="44" spans="1:22">
      <c r="A44" s="2227"/>
      <c r="B44" s="2160"/>
      <c r="C44" s="2160"/>
      <c r="D44" s="2160"/>
      <c r="E44" s="2160"/>
      <c r="F44" s="2160" t="s">
        <v>229</v>
      </c>
      <c r="G44" s="2160"/>
      <c r="H44" s="2160"/>
      <c r="I44" s="2160"/>
      <c r="J44" s="2160" t="s">
        <v>229</v>
      </c>
      <c r="K44" s="2160"/>
      <c r="L44" s="2160"/>
      <c r="M44" s="2160"/>
      <c r="O44" s="2183" t="s">
        <v>229</v>
      </c>
      <c r="P44" s="2184"/>
      <c r="Q44" s="2184"/>
      <c r="R44" s="2185"/>
      <c r="S44" s="2183" t="s">
        <v>229</v>
      </c>
      <c r="T44" s="2184"/>
      <c r="U44" s="2184"/>
      <c r="V44" s="2185"/>
    </row>
    <row r="45" spans="1:22" ht="15">
      <c r="A45" s="2227"/>
      <c r="B45" s="2160"/>
      <c r="C45" s="2160"/>
      <c r="D45" s="2160"/>
      <c r="E45" s="2160"/>
      <c r="F45" s="1480">
        <v>1.21</v>
      </c>
      <c r="G45" s="1480">
        <v>1.17</v>
      </c>
      <c r="H45" s="1480">
        <v>1.1399999999999999</v>
      </c>
      <c r="I45" s="1498">
        <v>1.1200000000000001</v>
      </c>
      <c r="J45" s="26">
        <v>1.21</v>
      </c>
      <c r="K45" s="26">
        <v>1.17</v>
      </c>
      <c r="L45" s="26">
        <v>1.1399999999999999</v>
      </c>
      <c r="M45" s="49">
        <v>1.1200000000000001</v>
      </c>
      <c r="O45" s="26">
        <v>0.72</v>
      </c>
      <c r="P45" s="26">
        <v>0.68</v>
      </c>
      <c r="Q45" s="26">
        <v>0.64</v>
      </c>
      <c r="R45" s="26">
        <v>0.6</v>
      </c>
      <c r="S45" s="26">
        <v>0.72</v>
      </c>
      <c r="T45" s="26">
        <v>0.68</v>
      </c>
      <c r="U45" s="26">
        <v>0.64</v>
      </c>
      <c r="V45" s="26">
        <v>0.6</v>
      </c>
    </row>
    <row r="46" spans="1:22">
      <c r="A46" s="2227"/>
      <c r="B46" s="8">
        <v>50</v>
      </c>
      <c r="C46" s="50">
        <v>1.1879999999999999</v>
      </c>
      <c r="D46" s="6">
        <f>((B46*'Equipment Results Matrix'!$R$245)+('Equipment Results Matrix'!$R$246*C46)+'Equipment Results Matrix'!$R$248+'Equipment Results Matrix'!$R$250+'Equipment Results Matrix'!$T$252)*(1+'Equipment Results Matrix'!$T$254)</f>
        <v>31442.055940249993</v>
      </c>
      <c r="E46" s="44">
        <f>D46*Inflation!$D$3</f>
        <v>33900.622426682516</v>
      </c>
      <c r="F46" s="8" t="s">
        <v>35</v>
      </c>
      <c r="G46" s="6">
        <f>(($B46*'Equipment Results Matrix'!$R$245)+('Equipment Results Matrix'!$R$246*G$16)+'Equipment Results Matrix'!$R$248+'Equipment Results Matrix'!$R$250+'Equipment Results Matrix'!$T$252)*(1+'Equipment Results Matrix'!$T$254)</f>
        <v>33986.431873249967</v>
      </c>
      <c r="H46" s="6">
        <f>(($B46*'Equipment Results Matrix'!$R$245)+('Equipment Results Matrix'!$R$246*H$16)+'Equipment Results Matrix'!$R$248+'Equipment Results Matrix'!$R$250+'Equipment Results Matrix'!$T$252)*(1+'Equipment Results Matrix'!$T$254)</f>
        <v>38227.058428249984</v>
      </c>
      <c r="I46" s="6">
        <f>(($B46*'Equipment Results Matrix'!$R$245)+('Equipment Results Matrix'!$R$246*I$16)+'Equipment Results Matrix'!$R$248+'Equipment Results Matrix'!$R$250+'Equipment Results Matrix'!$T$252)*(1+'Equipment Results Matrix'!$T$254)</f>
        <v>41054.142798249959</v>
      </c>
      <c r="J46" s="42" t="s">
        <v>35</v>
      </c>
      <c r="K46" s="43">
        <f>G46*Inflation!$D$3</f>
        <v>36643.952187945084</v>
      </c>
      <c r="L46" s="43">
        <f>H46*Inflation!$D$3</f>
        <v>41216.168456716085</v>
      </c>
      <c r="M46" s="43">
        <f>I46*Inflation!$D$3</f>
        <v>44264.312635896713</v>
      </c>
      <c r="O46" s="8" t="s">
        <v>35</v>
      </c>
      <c r="P46" s="9">
        <f>(G46-$D46)/$B46</f>
        <v>50.887518659999479</v>
      </c>
      <c r="Q46" s="9">
        <f t="shared" ref="Q46:R50" si="29">(H46-$D46)/$B46</f>
        <v>135.70004975999981</v>
      </c>
      <c r="R46" s="9">
        <f t="shared" si="29"/>
        <v>192.24173715999933</v>
      </c>
      <c r="S46" s="42" t="s">
        <v>35</v>
      </c>
      <c r="T46" s="31">
        <f>(K46-$E46)/$B46</f>
        <v>54.866595225251366</v>
      </c>
      <c r="U46" s="31">
        <f t="shared" ref="U46:V46" si="30">(L46-$E46)/$B46</f>
        <v>146.31092060067138</v>
      </c>
      <c r="V46" s="31">
        <f t="shared" si="30"/>
        <v>207.27380418428393</v>
      </c>
    </row>
    <row r="47" spans="1:22">
      <c r="A47" s="2227"/>
      <c r="B47" s="8">
        <v>100</v>
      </c>
      <c r="C47" s="50">
        <v>1.1879999999999999</v>
      </c>
      <c r="D47" s="6">
        <f>((B47*'Equipment Results Matrix'!$R$245)+('Equipment Results Matrix'!$R$246*C47)+'Equipment Results Matrix'!$R$248+'Equipment Results Matrix'!$R$250+'Equipment Results Matrix'!$T$252)*(1+'Equipment Results Matrix'!$T$254)</f>
        <v>62997.593440249999</v>
      </c>
      <c r="E47" s="44">
        <f>D47*Inflation!$D$3</f>
        <v>67923.599940983564</v>
      </c>
      <c r="F47" s="8" t="s">
        <v>35</v>
      </c>
      <c r="G47" s="6">
        <f>(($B47*'Equipment Results Matrix'!$R$245)+('Equipment Results Matrix'!$R$246*G$16)+'Equipment Results Matrix'!$R$248+'Equipment Results Matrix'!$R$250+'Equipment Results Matrix'!$T$252)*(1+'Equipment Results Matrix'!$T$254)</f>
        <v>65541.969373249973</v>
      </c>
      <c r="H47" s="6">
        <f>(($B47*'Equipment Results Matrix'!$R$245)+('Equipment Results Matrix'!$R$246*H$16)+'Equipment Results Matrix'!$R$248+'Equipment Results Matrix'!$R$250+'Equipment Results Matrix'!$T$252)*(1+'Equipment Results Matrix'!$T$254)</f>
        <v>69782.595928249997</v>
      </c>
      <c r="I47" s="6">
        <f>(($B47*'Equipment Results Matrix'!$R$245)+('Equipment Results Matrix'!$R$246*I$16)+'Equipment Results Matrix'!$R$248+'Equipment Results Matrix'!$R$250+'Equipment Results Matrix'!$T$252)*(1+'Equipment Results Matrix'!$T$254)</f>
        <v>72609.680298249965</v>
      </c>
      <c r="J47" s="42" t="s">
        <v>35</v>
      </c>
      <c r="K47" s="43">
        <f>G47*Inflation!$D$3</f>
        <v>70666.92970224614</v>
      </c>
      <c r="L47" s="43">
        <f>H47*Inflation!$D$3</f>
        <v>75239.145971017148</v>
      </c>
      <c r="M47" s="43">
        <f>I47*Inflation!$D$3</f>
        <v>78287.290150197761</v>
      </c>
      <c r="O47" s="8" t="s">
        <v>35</v>
      </c>
      <c r="P47" s="9">
        <f t="shared" ref="P47:P50" si="31">(G47-$D47)/$B47</f>
        <v>25.44375932999974</v>
      </c>
      <c r="Q47" s="9">
        <f t="shared" si="29"/>
        <v>67.850024879999978</v>
      </c>
      <c r="R47" s="9">
        <f t="shared" si="29"/>
        <v>96.120868579999666</v>
      </c>
      <c r="S47" s="42" t="s">
        <v>35</v>
      </c>
      <c r="T47" s="31">
        <f t="shared" ref="T47:T50" si="32">(K47-$E47)/$B47</f>
        <v>27.433297612625758</v>
      </c>
      <c r="U47" s="31">
        <f t="shared" ref="U47:U50" si="33">(L47-$E47)/$B47</f>
        <v>73.155460300335832</v>
      </c>
      <c r="V47" s="31">
        <f t="shared" ref="V47:V50" si="34">(M47-$E47)/$B47</f>
        <v>103.63690209214197</v>
      </c>
    </row>
    <row r="48" spans="1:22">
      <c r="A48" s="2227"/>
      <c r="B48" s="8">
        <v>150</v>
      </c>
      <c r="C48" s="50">
        <v>1.1879999999999999</v>
      </c>
      <c r="D48" s="6">
        <f>((B48*'Equipment Results Matrix'!$R$245)+('Equipment Results Matrix'!$R$246*C48)+'Equipment Results Matrix'!$R$248+'Equipment Results Matrix'!$R$250+'Equipment Results Matrix'!$T$252)*(1+'Equipment Results Matrix'!$T$254)</f>
        <v>94553.130940250005</v>
      </c>
      <c r="E48" s="44">
        <f>D48*Inflation!$D$3</f>
        <v>101946.57745528463</v>
      </c>
      <c r="F48" s="8" t="s">
        <v>35</v>
      </c>
      <c r="G48" s="6">
        <f>(($B48*'Equipment Results Matrix'!$R$245)+('Equipment Results Matrix'!$R$246*G$16)+'Equipment Results Matrix'!$R$248+'Equipment Results Matrix'!$R$250+'Equipment Results Matrix'!$T$252)*(1+'Equipment Results Matrix'!$T$254)</f>
        <v>97097.506873249979</v>
      </c>
      <c r="H48" s="6">
        <f>(($B48*'Equipment Results Matrix'!$R$245)+('Equipment Results Matrix'!$R$246*H$16)+'Equipment Results Matrix'!$R$248+'Equipment Results Matrix'!$R$250+'Equipment Results Matrix'!$T$252)*(1+'Equipment Results Matrix'!$T$254)</f>
        <v>101338.13342825</v>
      </c>
      <c r="I48" s="6">
        <f>(($B48*'Equipment Results Matrix'!$R$245)+('Equipment Results Matrix'!$R$246*I$16)+'Equipment Results Matrix'!$R$248+'Equipment Results Matrix'!$R$250+'Equipment Results Matrix'!$T$252)*(1+'Equipment Results Matrix'!$T$254)</f>
        <v>104165.21779824997</v>
      </c>
      <c r="J48" s="42" t="s">
        <v>35</v>
      </c>
      <c r="K48" s="43">
        <f>G48*Inflation!$D$3</f>
        <v>104689.90721654719</v>
      </c>
      <c r="L48" s="43">
        <f>H48*Inflation!$D$3</f>
        <v>109262.1234853182</v>
      </c>
      <c r="M48" s="43">
        <f>I48*Inflation!$D$3</f>
        <v>112310.26766449882</v>
      </c>
      <c r="O48" s="8" t="s">
        <v>35</v>
      </c>
      <c r="P48" s="9">
        <f t="shared" si="31"/>
        <v>16.962506219999828</v>
      </c>
      <c r="Q48" s="9">
        <f t="shared" si="29"/>
        <v>45.233349919999988</v>
      </c>
      <c r="R48" s="9">
        <f t="shared" si="29"/>
        <v>64.080579053333111</v>
      </c>
      <c r="S48" s="42" t="s">
        <v>35</v>
      </c>
      <c r="T48" s="31">
        <f t="shared" si="32"/>
        <v>18.288865075083741</v>
      </c>
      <c r="U48" s="31">
        <f t="shared" si="33"/>
        <v>48.770306866890458</v>
      </c>
      <c r="V48" s="31">
        <f t="shared" si="34"/>
        <v>69.091268061427982</v>
      </c>
    </row>
    <row r="49" spans="1:22">
      <c r="A49" s="2227"/>
      <c r="B49" s="8">
        <v>200</v>
      </c>
      <c r="C49" s="50">
        <v>1.1879999999999999</v>
      </c>
      <c r="D49" s="6">
        <f>((B49*'Equipment Results Matrix'!$R$245)+('Equipment Results Matrix'!$R$246*C49)+'Equipment Results Matrix'!$R$248+'Equipment Results Matrix'!$R$250+'Equipment Results Matrix'!$T$252)*(1+'Equipment Results Matrix'!$T$254)</f>
        <v>126108.66844025001</v>
      </c>
      <c r="E49" s="44">
        <f>D49*Inflation!$D$3</f>
        <v>135969.55496958568</v>
      </c>
      <c r="F49" s="8" t="s">
        <v>35</v>
      </c>
      <c r="G49" s="6">
        <f>(($B49*'Equipment Results Matrix'!$R$245)+('Equipment Results Matrix'!$R$246*G$16)+'Equipment Results Matrix'!$R$248+'Equipment Results Matrix'!$R$250+'Equipment Results Matrix'!$T$252)*(1+'Equipment Results Matrix'!$T$254)</f>
        <v>128653.04437324998</v>
      </c>
      <c r="H49" s="6">
        <f>(($B49*'Equipment Results Matrix'!$R$245)+('Equipment Results Matrix'!$R$246*H$16)+'Equipment Results Matrix'!$R$248+'Equipment Results Matrix'!$R$250+'Equipment Results Matrix'!$T$252)*(1+'Equipment Results Matrix'!$T$254)</f>
        <v>132893.67092825001</v>
      </c>
      <c r="I49" s="6">
        <f>(($B49*'Equipment Results Matrix'!$R$245)+('Equipment Results Matrix'!$R$246*I$16)+'Equipment Results Matrix'!$R$248+'Equipment Results Matrix'!$R$250+'Equipment Results Matrix'!$T$252)*(1+'Equipment Results Matrix'!$T$254)</f>
        <v>135720.75529824998</v>
      </c>
      <c r="J49" s="42" t="s">
        <v>35</v>
      </c>
      <c r="K49" s="43">
        <f>G49*Inflation!$D$3</f>
        <v>138712.88473084825</v>
      </c>
      <c r="L49" s="43">
        <f>H49*Inflation!$D$3</f>
        <v>143285.10099961926</v>
      </c>
      <c r="M49" s="43">
        <f>I49*Inflation!$D$3</f>
        <v>146333.24517879987</v>
      </c>
      <c r="O49" s="8" t="s">
        <v>35</v>
      </c>
      <c r="P49" s="9">
        <f t="shared" si="31"/>
        <v>12.72187966499987</v>
      </c>
      <c r="Q49" s="9">
        <f t="shared" si="29"/>
        <v>33.925012439999989</v>
      </c>
      <c r="R49" s="9">
        <f t="shared" si="29"/>
        <v>48.060434289999833</v>
      </c>
      <c r="S49" s="42" t="s">
        <v>35</v>
      </c>
      <c r="T49" s="31">
        <f t="shared" si="32"/>
        <v>13.716648806312879</v>
      </c>
      <c r="U49" s="31">
        <f t="shared" si="33"/>
        <v>36.577730150167916</v>
      </c>
      <c r="V49" s="31">
        <f t="shared" si="34"/>
        <v>51.818451046070983</v>
      </c>
    </row>
    <row r="50" spans="1:22">
      <c r="A50" s="2227"/>
      <c r="B50" s="8">
        <v>400</v>
      </c>
      <c r="C50" s="50">
        <v>1.1879999999999999</v>
      </c>
      <c r="D50" s="6">
        <f>((B50*'Equipment Results Matrix'!$R$245)+('Equipment Results Matrix'!$R$246*C50)+'Equipment Results Matrix'!$R$248+'Equipment Results Matrix'!$R$250+'Equipment Results Matrix'!$T$252)*(1+'Equipment Results Matrix'!$T$254)</f>
        <v>252330.81844025</v>
      </c>
      <c r="E50" s="44">
        <f>D50*Inflation!$D$3</f>
        <v>272061.46502678987</v>
      </c>
      <c r="F50" s="8" t="s">
        <v>35</v>
      </c>
      <c r="G50" s="6">
        <f>(($B50*'Equipment Results Matrix'!$R$245)+('Equipment Results Matrix'!$R$246*G$16)+'Equipment Results Matrix'!$R$248+'Equipment Results Matrix'!$R$250+'Equipment Results Matrix'!$T$252)*(1+'Equipment Results Matrix'!$T$254)</f>
        <v>254875.19437324998</v>
      </c>
      <c r="H50" s="6">
        <f>(($B50*'Equipment Results Matrix'!$R$245)+('Equipment Results Matrix'!$R$246*H$16)+'Equipment Results Matrix'!$R$248+'Equipment Results Matrix'!$R$250+'Equipment Results Matrix'!$T$252)*(1+'Equipment Results Matrix'!$T$254)</f>
        <v>259115.82092825</v>
      </c>
      <c r="I50" s="6">
        <f>(($B50*'Equipment Results Matrix'!$R$245)+('Equipment Results Matrix'!$R$246*I$16)+'Equipment Results Matrix'!$R$248+'Equipment Results Matrix'!$R$250+'Equipment Results Matrix'!$T$252)*(1+'Equipment Results Matrix'!$T$254)</f>
        <v>261942.90529824997</v>
      </c>
      <c r="J50" s="42" t="s">
        <v>35</v>
      </c>
      <c r="K50" s="43">
        <f>G50*Inflation!$D$3</f>
        <v>274804.79478805244</v>
      </c>
      <c r="L50" s="43">
        <f>H50*Inflation!$D$3</f>
        <v>279377.01105682342</v>
      </c>
      <c r="M50" s="43">
        <f>I50*Inflation!$D$3</f>
        <v>282425.15523600404</v>
      </c>
      <c r="O50" s="8" t="s">
        <v>35</v>
      </c>
      <c r="P50" s="9">
        <f t="shared" si="31"/>
        <v>6.3609398324999349</v>
      </c>
      <c r="Q50" s="9">
        <f t="shared" si="29"/>
        <v>16.962506219999995</v>
      </c>
      <c r="R50" s="9">
        <f t="shared" si="29"/>
        <v>24.030217144999916</v>
      </c>
      <c r="S50" s="42" t="s">
        <v>35</v>
      </c>
      <c r="T50" s="31">
        <f t="shared" si="32"/>
        <v>6.8583244031564394</v>
      </c>
      <c r="U50" s="31">
        <f t="shared" si="33"/>
        <v>18.288865075083887</v>
      </c>
      <c r="V50" s="31">
        <f t="shared" si="34"/>
        <v>25.90922552303542</v>
      </c>
    </row>
    <row r="52" spans="1:22" ht="21">
      <c r="A52" s="184" t="s">
        <v>634</v>
      </c>
    </row>
  </sheetData>
  <mergeCells count="63">
    <mergeCell ref="D4:G4"/>
    <mergeCell ref="H4:H5"/>
    <mergeCell ref="I4:I5"/>
    <mergeCell ref="J4:M4"/>
    <mergeCell ref="B2:M2"/>
    <mergeCell ref="B3:G3"/>
    <mergeCell ref="H3:M3"/>
    <mergeCell ref="B4:B5"/>
    <mergeCell ref="C4:C5"/>
    <mergeCell ref="F23:I23"/>
    <mergeCell ref="J23:M23"/>
    <mergeCell ref="F24:I24"/>
    <mergeCell ref="J24:M24"/>
    <mergeCell ref="E14:E16"/>
    <mergeCell ref="F14:I14"/>
    <mergeCell ref="J14:M14"/>
    <mergeCell ref="F15:I15"/>
    <mergeCell ref="J15:M15"/>
    <mergeCell ref="X13:AB13"/>
    <mergeCell ref="X15:X20"/>
    <mergeCell ref="Y15:Y17"/>
    <mergeCell ref="Y18:Y20"/>
    <mergeCell ref="O35:R35"/>
    <mergeCell ref="S35:V35"/>
    <mergeCell ref="O15:R15"/>
    <mergeCell ref="S15:V15"/>
    <mergeCell ref="O34:V34"/>
    <mergeCell ref="O14:V14"/>
    <mergeCell ref="O23:V23"/>
    <mergeCell ref="B13:V13"/>
    <mergeCell ref="A33:V33"/>
    <mergeCell ref="B22:V22"/>
    <mergeCell ref="A14:A30"/>
    <mergeCell ref="B14:B16"/>
    <mergeCell ref="O44:R44"/>
    <mergeCell ref="S44:V44"/>
    <mergeCell ref="O24:R24"/>
    <mergeCell ref="S24:V24"/>
    <mergeCell ref="O43:V43"/>
    <mergeCell ref="B42:V42"/>
    <mergeCell ref="E43:E45"/>
    <mergeCell ref="F43:I43"/>
    <mergeCell ref="F44:I44"/>
    <mergeCell ref="J44:M44"/>
    <mergeCell ref="F34:I34"/>
    <mergeCell ref="J34:M34"/>
    <mergeCell ref="F35:I35"/>
    <mergeCell ref="J35:M35"/>
    <mergeCell ref="J43:M43"/>
    <mergeCell ref="E34:E36"/>
    <mergeCell ref="C14:C16"/>
    <mergeCell ref="D14:D16"/>
    <mergeCell ref="E23:E25"/>
    <mergeCell ref="A34:A50"/>
    <mergeCell ref="B34:B36"/>
    <mergeCell ref="C34:C36"/>
    <mergeCell ref="D34:D36"/>
    <mergeCell ref="B23:B25"/>
    <mergeCell ref="C23:C25"/>
    <mergeCell ref="B43:B45"/>
    <mergeCell ref="C43:C45"/>
    <mergeCell ref="D43:D45"/>
    <mergeCell ref="D23:D25"/>
  </mergeCells>
  <hyperlinks>
    <hyperlink ref="A52" location="'Master Summary'!A1" display="Return To Master Summary"/>
  </hyperlink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2:AG42"/>
  <sheetViews>
    <sheetView zoomScale="70" zoomScaleNormal="70" workbookViewId="0"/>
  </sheetViews>
  <sheetFormatPr defaultColWidth="9.109375" defaultRowHeight="14.4"/>
  <cols>
    <col min="1" max="1" width="9.109375" style="95"/>
    <col min="2" max="2" width="14.6640625" style="95" customWidth="1"/>
    <col min="3" max="3" width="12.109375" style="95" customWidth="1"/>
    <col min="4" max="4" width="12.88671875" style="95" customWidth="1"/>
    <col min="5" max="5" width="15.5546875" style="95" customWidth="1"/>
    <col min="6" max="6" width="15" style="95" customWidth="1"/>
    <col min="7" max="7" width="14.6640625" style="95" customWidth="1"/>
    <col min="8" max="8" width="14.33203125" style="95" customWidth="1"/>
    <col min="9" max="9" width="16.33203125" style="95" customWidth="1"/>
    <col min="10" max="10" width="14.6640625" style="95" customWidth="1"/>
    <col min="11" max="11" width="14.33203125" style="95" customWidth="1"/>
    <col min="12" max="12" width="16.33203125" style="95" customWidth="1"/>
    <col min="13" max="13" width="18.33203125" style="95" customWidth="1"/>
    <col min="14" max="14" width="21.6640625" style="95" customWidth="1"/>
    <col min="15" max="15" width="13.88671875" style="95" customWidth="1"/>
    <col min="16" max="16" width="11.44140625" style="95" customWidth="1"/>
    <col min="17" max="17" width="16.44140625" style="95" customWidth="1"/>
    <col min="18" max="18" width="15.6640625" style="95" customWidth="1"/>
    <col min="19" max="19" width="15.44140625" style="95" customWidth="1"/>
    <col min="20" max="20" width="16.33203125" style="95" customWidth="1"/>
    <col min="21" max="21" width="19.5546875" style="95" customWidth="1"/>
    <col min="22" max="22" width="18.109375" style="95" customWidth="1"/>
    <col min="23" max="23" width="14.88671875" style="95" customWidth="1"/>
    <col min="24" max="24" width="15.88671875" style="95" customWidth="1"/>
    <col min="25" max="25" width="16.33203125" style="95" customWidth="1"/>
    <col min="26" max="16384" width="9.109375" style="95"/>
  </cols>
  <sheetData>
    <row r="2" spans="1:32" ht="15.75" customHeight="1">
      <c r="AB2" s="2190" t="s">
        <v>766</v>
      </c>
      <c r="AC2" s="2190"/>
      <c r="AD2" s="2190"/>
      <c r="AE2" s="2190"/>
      <c r="AF2" s="2190"/>
    </row>
    <row r="3" spans="1:32" ht="22.5" customHeight="1">
      <c r="A3" s="2241" t="s">
        <v>159</v>
      </c>
      <c r="B3" s="2241"/>
      <c r="C3" s="2241"/>
      <c r="D3" s="2241"/>
      <c r="E3" s="2241"/>
      <c r="F3" s="2241"/>
      <c r="G3" s="2241"/>
      <c r="H3" s="2241"/>
      <c r="I3" s="2241"/>
      <c r="J3" s="2241"/>
      <c r="K3" s="2241"/>
      <c r="L3" s="2241"/>
      <c r="M3" s="2241"/>
      <c r="N3" s="2241"/>
      <c r="O3" s="2241"/>
      <c r="P3" s="2241"/>
      <c r="Q3" s="2241"/>
      <c r="R3" s="2241"/>
      <c r="S3" s="2241"/>
      <c r="T3" s="2241"/>
      <c r="U3" s="2241"/>
      <c r="V3" s="2241"/>
      <c r="W3" s="2241"/>
      <c r="X3" s="2241"/>
      <c r="Y3" s="2241"/>
      <c r="AB3" s="29" t="s">
        <v>243</v>
      </c>
      <c r="AC3" s="29" t="s">
        <v>239</v>
      </c>
      <c r="AD3" s="20" t="s">
        <v>238</v>
      </c>
      <c r="AE3" s="29" t="s">
        <v>240</v>
      </c>
      <c r="AF3" s="29" t="s">
        <v>241</v>
      </c>
    </row>
    <row r="4" spans="1:32" ht="15" customHeight="1">
      <c r="A4" s="2182" t="s">
        <v>161</v>
      </c>
      <c r="B4" s="2211" t="s">
        <v>31</v>
      </c>
      <c r="C4" s="2211" t="s">
        <v>37</v>
      </c>
      <c r="D4" s="2211" t="s">
        <v>44</v>
      </c>
      <c r="E4" s="2211" t="s">
        <v>113</v>
      </c>
      <c r="F4" s="2211" t="s">
        <v>235</v>
      </c>
      <c r="G4" s="2211"/>
      <c r="H4" s="2211"/>
      <c r="I4" s="2211"/>
      <c r="J4" s="2211" t="s">
        <v>236</v>
      </c>
      <c r="K4" s="2211"/>
      <c r="L4" s="2211"/>
      <c r="M4" s="2211"/>
      <c r="N4" s="2208" t="s">
        <v>733</v>
      </c>
      <c r="O4" s="2207" t="s">
        <v>621</v>
      </c>
      <c r="P4" s="2207" t="s">
        <v>622</v>
      </c>
      <c r="Q4" s="2207" t="s">
        <v>261</v>
      </c>
      <c r="R4" s="2210" t="s">
        <v>623</v>
      </c>
      <c r="S4" s="2210" t="s">
        <v>624</v>
      </c>
      <c r="T4" s="2210" t="s">
        <v>629</v>
      </c>
      <c r="U4" s="2214" t="s">
        <v>625</v>
      </c>
      <c r="V4" s="2214" t="s">
        <v>1799</v>
      </c>
      <c r="W4" s="2214"/>
      <c r="X4" s="2214"/>
      <c r="Y4" s="2214"/>
      <c r="AB4" s="2188" t="s">
        <v>246</v>
      </c>
      <c r="AC4" s="2189" t="s">
        <v>245</v>
      </c>
      <c r="AD4" s="97">
        <v>100</v>
      </c>
      <c r="AE4" s="97">
        <f>'Labor Results Matrix'!$L$127*'Labor Adjustment'!$B$5</f>
        <v>211.22694627062057</v>
      </c>
      <c r="AF4" s="97">
        <f>AE4*Inflation!$D$3</f>
        <v>227.74353450261461</v>
      </c>
    </row>
    <row r="5" spans="1:32" ht="15" customHeight="1">
      <c r="A5" s="2182"/>
      <c r="B5" s="2211"/>
      <c r="C5" s="2211"/>
      <c r="D5" s="2211"/>
      <c r="E5" s="2211"/>
      <c r="F5" s="2211" t="s">
        <v>229</v>
      </c>
      <c r="G5" s="2211"/>
      <c r="H5" s="2211"/>
      <c r="I5" s="2211"/>
      <c r="J5" s="2211" t="s">
        <v>229</v>
      </c>
      <c r="K5" s="2211"/>
      <c r="L5" s="2211"/>
      <c r="M5" s="2211"/>
      <c r="N5" s="2208"/>
      <c r="O5" s="2207"/>
      <c r="P5" s="2207"/>
      <c r="Q5" s="2207"/>
      <c r="R5" s="2210"/>
      <c r="S5" s="2210"/>
      <c r="T5" s="2210"/>
      <c r="U5" s="2214"/>
      <c r="V5" s="2211" t="s">
        <v>229</v>
      </c>
      <c r="W5" s="2211"/>
      <c r="X5" s="2211"/>
      <c r="Y5" s="2211"/>
      <c r="AB5" s="2188"/>
      <c r="AC5" s="2189"/>
      <c r="AD5" s="97">
        <v>200</v>
      </c>
      <c r="AE5" s="97">
        <f>'Labor Results Matrix'!$L$128*'Labor Adjustment'!$B$5</f>
        <v>149.39789971499894</v>
      </c>
      <c r="AF5" s="97">
        <f>AE5*Inflation!$D$3</f>
        <v>161.07985429458179</v>
      </c>
    </row>
    <row r="6" spans="1:32" ht="15.75" customHeight="1">
      <c r="A6" s="2182"/>
      <c r="B6" s="2211"/>
      <c r="C6" s="2211"/>
      <c r="D6" s="2211"/>
      <c r="E6" s="2211"/>
      <c r="F6" s="1499">
        <v>1.21</v>
      </c>
      <c r="G6" s="1499">
        <v>1.17</v>
      </c>
      <c r="H6" s="1499">
        <v>1.1399999999999999</v>
      </c>
      <c r="I6" s="1500">
        <v>1.1200000000000001</v>
      </c>
      <c r="J6" s="1499">
        <v>1.21</v>
      </c>
      <c r="K6" s="1499">
        <v>1.17</v>
      </c>
      <c r="L6" s="1499">
        <v>1.1399999999999999</v>
      </c>
      <c r="M6" s="1500">
        <v>1.1200000000000001</v>
      </c>
      <c r="N6" s="2208"/>
      <c r="O6" s="2207"/>
      <c r="P6" s="2207"/>
      <c r="Q6" s="2207"/>
      <c r="R6" s="2210"/>
      <c r="S6" s="2210"/>
      <c r="T6" s="2210"/>
      <c r="U6" s="2214"/>
      <c r="V6" s="1499">
        <v>1.21</v>
      </c>
      <c r="W6" s="1499">
        <v>1.17</v>
      </c>
      <c r="X6" s="1499">
        <v>1.1399999999999999</v>
      </c>
      <c r="Y6" s="1500">
        <v>1.1200000000000001</v>
      </c>
      <c r="AB6" s="2188"/>
      <c r="AC6" s="2189"/>
      <c r="AD6" s="97">
        <v>300</v>
      </c>
      <c r="AE6" s="97">
        <f>'Labor Results Matrix'!$L$129*'Labor Adjustment'!$B$5</f>
        <v>142.51425453885136</v>
      </c>
      <c r="AF6" s="97">
        <f>AE6*Inflation!$D$3</f>
        <v>153.65795235282289</v>
      </c>
    </row>
    <row r="7" spans="1:32" ht="15.6">
      <c r="A7" s="2182"/>
      <c r="B7" s="8">
        <v>100</v>
      </c>
      <c r="C7" s="50">
        <v>1.25496758</v>
      </c>
      <c r="D7" s="6">
        <f>((B7*'Equipment Results Matrix'!$R$245)+('Equipment Results Matrix'!$R$246*C7)+'Equipment Results Matrix'!$R$247+'Equipment Results Matrix'!$R$250+'Equipment Results Matrix'!$T$252)*(1+'Equipment Results Matrix'!$T$254)</f>
        <v>50883.943629513757</v>
      </c>
      <c r="E7" s="44">
        <f>D7*Inflation!$D$3</f>
        <v>54862.740650382155</v>
      </c>
      <c r="F7" s="6">
        <f>(($B7*'Equipment Results Matrix'!$R$245)+('Equipment Results Matrix'!$R$246*F$6)+'Equipment Results Matrix'!$R$247+'Equipment Results Matrix'!$R$250+'Equipment Results Matrix'!$T$252)*(1+'Equipment Results Matrix'!$T$254)</f>
        <v>57240.300758249999</v>
      </c>
      <c r="G7" s="6">
        <f>(($B7*'Equipment Results Matrix'!$R$245)+('Equipment Results Matrix'!$R$246*G$6)+'Equipment Results Matrix'!$R$247+'Equipment Results Matrix'!$R$250+'Equipment Results Matrix'!$T$252)*(1+'Equipment Results Matrix'!$T$254)</f>
        <v>62894.469498249979</v>
      </c>
      <c r="H7" s="6">
        <f>(($B7*'Equipment Results Matrix'!$R$245)+('Equipment Results Matrix'!$R$246*H$6)+'Equipment Results Matrix'!$R$247+'Equipment Results Matrix'!$R$250+'Equipment Results Matrix'!$T$252)*(1+'Equipment Results Matrix'!$T$254)</f>
        <v>67135.096053250003</v>
      </c>
      <c r="I7" s="6">
        <f>(($B7*'Equipment Results Matrix'!$R$245)+('Equipment Results Matrix'!$R$246*I$6)+'Equipment Results Matrix'!$R$247+'Equipment Results Matrix'!$R$250+'Equipment Results Matrix'!$T$252)*(1+'Equipment Results Matrix'!$T$254)</f>
        <v>69962.180423249971</v>
      </c>
      <c r="J7" s="43">
        <f>F7*Inflation!$D$3</f>
        <v>61716.124011824199</v>
      </c>
      <c r="K7" s="43">
        <f>G7*Inflation!$D$3</f>
        <v>67812.412370185484</v>
      </c>
      <c r="L7" s="43">
        <f>H7*Inflation!$D$3</f>
        <v>72384.628638956507</v>
      </c>
      <c r="M7" s="43">
        <f>I7*Inflation!$D$3</f>
        <v>75432.77281813712</v>
      </c>
      <c r="N7" s="332">
        <f>$AF$7</f>
        <v>229.89816476862316</v>
      </c>
      <c r="O7" s="333">
        <v>0.05</v>
      </c>
      <c r="P7" s="1477">
        <v>23</v>
      </c>
      <c r="Q7" s="341">
        <f>P7/3</f>
        <v>7.666666666666667</v>
      </c>
      <c r="R7" s="334">
        <f>((1+$O7)^Q7-1)/($O7*(1+$O7)^Q7)</f>
        <v>6.2412587657030576</v>
      </c>
      <c r="S7" s="36">
        <f>((1+$O7)^P7-1)/($O7*(1+$O7)^P7)</f>
        <v>13.488573884064344</v>
      </c>
      <c r="T7" s="36">
        <f>R7/S7</f>
        <v>0.4627070896706581</v>
      </c>
      <c r="U7" s="334">
        <f>(E7+N7)*T7</f>
        <v>25491.75456843515</v>
      </c>
      <c r="V7" s="335">
        <f>($U7+(J7-$E7))/$B7</f>
        <v>323.45137929877194</v>
      </c>
      <c r="W7" s="335">
        <f t="shared" ref="W7:Y7" si="0">($U7+(K7-$E7))/$B7</f>
        <v>384.41426288238478</v>
      </c>
      <c r="X7" s="335">
        <f t="shared" si="0"/>
        <v>430.13642557009501</v>
      </c>
      <c r="Y7" s="335">
        <f t="shared" si="0"/>
        <v>460.61786736190118</v>
      </c>
      <c r="AB7" s="2188"/>
      <c r="AC7" s="1989" t="s">
        <v>242</v>
      </c>
      <c r="AD7" s="97">
        <v>100</v>
      </c>
      <c r="AE7" s="97">
        <f>'Labor Results Matrix'!$L$130*'Labor Adjustment'!$B$5</f>
        <v>213.22531681679305</v>
      </c>
      <c r="AF7" s="97">
        <f>AE7*Inflation!$D$3</f>
        <v>229.89816476862316</v>
      </c>
    </row>
    <row r="8" spans="1:32" ht="15.6">
      <c r="A8" s="2182"/>
      <c r="B8" s="8">
        <v>150</v>
      </c>
      <c r="C8" s="50">
        <v>1.25496758</v>
      </c>
      <c r="D8" s="6">
        <f>((B8*'Equipment Results Matrix'!$R$245)+('Equipment Results Matrix'!$R$246*C8)+'Equipment Results Matrix'!$R$247+'Equipment Results Matrix'!$R$250+'Equipment Results Matrix'!$T$252)*(1+'Equipment Results Matrix'!$T$254)</f>
        <v>82439.481129513748</v>
      </c>
      <c r="E8" s="44">
        <f>D8*Inflation!$D$3</f>
        <v>88885.718164683189</v>
      </c>
      <c r="F8" s="6">
        <f>(($B8*'Equipment Results Matrix'!$R$245)+('Equipment Results Matrix'!$R$246*F$6)+'Equipment Results Matrix'!$R$247+'Equipment Results Matrix'!$R$250+'Equipment Results Matrix'!$T$252)*(1+'Equipment Results Matrix'!$T$254)</f>
        <v>88795.838258249991</v>
      </c>
      <c r="G8" s="6">
        <f>(($B8*'Equipment Results Matrix'!$R$245)+('Equipment Results Matrix'!$R$246*G$6)+'Equipment Results Matrix'!$R$247+'Equipment Results Matrix'!$R$250+'Equipment Results Matrix'!$T$252)*(1+'Equipment Results Matrix'!$T$254)</f>
        <v>94450.00699824997</v>
      </c>
      <c r="H8" s="6">
        <f>(($B8*'Equipment Results Matrix'!$R$245)+('Equipment Results Matrix'!$R$246*H$6)+'Equipment Results Matrix'!$R$247+'Equipment Results Matrix'!$R$250+'Equipment Results Matrix'!$T$252)*(1+'Equipment Results Matrix'!$T$254)</f>
        <v>98690.633553249994</v>
      </c>
      <c r="I8" s="6">
        <f>(($B8*'Equipment Results Matrix'!$R$245)+('Equipment Results Matrix'!$R$246*I$6)+'Equipment Results Matrix'!$R$247+'Equipment Results Matrix'!$R$250+'Equipment Results Matrix'!$T$252)*(1+'Equipment Results Matrix'!$T$254)</f>
        <v>101517.71792324996</v>
      </c>
      <c r="J8" s="43">
        <f>F8*Inflation!$D$3</f>
        <v>95739.101526125232</v>
      </c>
      <c r="K8" s="43">
        <f>G8*Inflation!$D$3</f>
        <v>101835.38988448653</v>
      </c>
      <c r="L8" s="43">
        <f>H8*Inflation!$D$3</f>
        <v>106407.60615325754</v>
      </c>
      <c r="M8" s="43">
        <f>I8*Inflation!$D$3</f>
        <v>109455.75033243815</v>
      </c>
      <c r="N8" s="332">
        <f>$AF$8</f>
        <v>167.06657966902253</v>
      </c>
      <c r="O8" s="333">
        <v>0.05</v>
      </c>
      <c r="P8" s="1477">
        <v>23</v>
      </c>
      <c r="Q8" s="341">
        <f t="shared" ref="Q8:Q11" si="1">P8/3</f>
        <v>7.666666666666667</v>
      </c>
      <c r="R8" s="334">
        <f>((1+$O8)^Q8-1)/($O8*(1+$O8)^Q8)</f>
        <v>6.2412587657030576</v>
      </c>
      <c r="S8" s="36">
        <f>((1+$O8)^P8-1)/($O8*(1+$O8)^P8)</f>
        <v>13.488573884064344</v>
      </c>
      <c r="T8" s="36">
        <f>R8/S8</f>
        <v>0.4627070896706581</v>
      </c>
      <c r="U8" s="334">
        <f t="shared" ref="U8:U11" si="2">(E8+N8)*T8</f>
        <v>41205.354856126789</v>
      </c>
      <c r="V8" s="335">
        <f t="shared" ref="V8:V11" si="3">($U8+(J8-$E8))/$B8</f>
        <v>320.39158811712554</v>
      </c>
      <c r="W8" s="335">
        <f t="shared" ref="W8:W11" si="4">($U8+(K8-$E8))/$B8</f>
        <v>361.03351050620091</v>
      </c>
      <c r="X8" s="335">
        <f t="shared" ref="X8:X11" si="5">($U8+(L8-$E8))/$B8</f>
        <v>391.51495229800759</v>
      </c>
      <c r="Y8" s="335">
        <f t="shared" ref="Y8:Y11" si="6">($U8+(M8-$E8))/$B8</f>
        <v>411.83591349254505</v>
      </c>
      <c r="AB8" s="2188"/>
      <c r="AC8" s="1989"/>
      <c r="AD8" s="97">
        <v>200</v>
      </c>
      <c r="AE8" s="97">
        <f>'Labor Results Matrix'!$L$131*'Labor Adjustment'!$B$5</f>
        <v>154.95045128036264</v>
      </c>
      <c r="AF8" s="97">
        <f>AE8*Inflation!$D$3</f>
        <v>167.06657966902253</v>
      </c>
    </row>
    <row r="9" spans="1:32" ht="15.6">
      <c r="A9" s="2182"/>
      <c r="B9" s="8">
        <v>200</v>
      </c>
      <c r="C9" s="50">
        <v>1.25496758</v>
      </c>
      <c r="D9" s="6">
        <f>((B9*'Equipment Results Matrix'!$R$245)+('Equipment Results Matrix'!$R$246*C9)+'Equipment Results Matrix'!$R$247+'Equipment Results Matrix'!$R$250+'Equipment Results Matrix'!$T$252)*(1+'Equipment Results Matrix'!$T$254)</f>
        <v>113995.01862951377</v>
      </c>
      <c r="E9" s="44">
        <f>D9*Inflation!$D$3</f>
        <v>122908.69567898427</v>
      </c>
      <c r="F9" s="6">
        <f>(($B9*'Equipment Results Matrix'!$R$245)+('Equipment Results Matrix'!$R$246*F$6)+'Equipment Results Matrix'!$R$247+'Equipment Results Matrix'!$R$250+'Equipment Results Matrix'!$T$252)*(1+'Equipment Results Matrix'!$T$254)</f>
        <v>120351.37575825</v>
      </c>
      <c r="G9" s="6">
        <f>(($B9*'Equipment Results Matrix'!$R$245)+('Equipment Results Matrix'!$R$246*G$6)+'Equipment Results Matrix'!$R$247+'Equipment Results Matrix'!$R$250+'Equipment Results Matrix'!$T$252)*(1+'Equipment Results Matrix'!$T$254)</f>
        <v>126005.54449824998</v>
      </c>
      <c r="H9" s="6">
        <f>(($B9*'Equipment Results Matrix'!$R$245)+('Equipment Results Matrix'!$R$246*H$6)+'Equipment Results Matrix'!$R$247+'Equipment Results Matrix'!$R$250+'Equipment Results Matrix'!$T$252)*(1+'Equipment Results Matrix'!$T$254)</f>
        <v>130246.17105325</v>
      </c>
      <c r="I9" s="6">
        <f>(($B9*'Equipment Results Matrix'!$R$245)+('Equipment Results Matrix'!$R$246*I$6)+'Equipment Results Matrix'!$R$247+'Equipment Results Matrix'!$R$250+'Equipment Results Matrix'!$T$252)*(1+'Equipment Results Matrix'!$T$254)</f>
        <v>133073.25542324997</v>
      </c>
      <c r="J9" s="43">
        <f>F9*Inflation!$D$3</f>
        <v>129762.0790404263</v>
      </c>
      <c r="K9" s="43">
        <f>G9*Inflation!$D$3</f>
        <v>135858.36739878758</v>
      </c>
      <c r="L9" s="43">
        <f>H9*Inflation!$D$3</f>
        <v>140430.58366755859</v>
      </c>
      <c r="M9" s="43">
        <f>I9*Inflation!$D$3</f>
        <v>143478.7278467392</v>
      </c>
      <c r="N9" s="332">
        <f>$AF$8</f>
        <v>167.06657966902253</v>
      </c>
      <c r="O9" s="333">
        <v>0.05</v>
      </c>
      <c r="P9" s="1477">
        <v>23</v>
      </c>
      <c r="Q9" s="341">
        <f t="shared" si="1"/>
        <v>7.666666666666667</v>
      </c>
      <c r="R9" s="334">
        <f>((1+$O9)^Q9-1)/($O9*(1+$O9)^Q9)</f>
        <v>6.2412587657030576</v>
      </c>
      <c r="S9" s="36">
        <f>((1+$O9)^P9-1)/($O9*(1+$O9)^P9)</f>
        <v>13.488573884064344</v>
      </c>
      <c r="T9" s="36">
        <f>R9/S9</f>
        <v>0.4627070896706581</v>
      </c>
      <c r="U9" s="334">
        <f t="shared" si="2"/>
        <v>56948.027763699283</v>
      </c>
      <c r="V9" s="335">
        <f t="shared" si="3"/>
        <v>319.00705562570658</v>
      </c>
      <c r="W9" s="335">
        <f t="shared" si="4"/>
        <v>349.48849741751297</v>
      </c>
      <c r="X9" s="335">
        <f t="shared" si="5"/>
        <v>372.34957876136804</v>
      </c>
      <c r="Y9" s="335">
        <f t="shared" si="6"/>
        <v>387.59029965727109</v>
      </c>
      <c r="AB9" s="2188"/>
      <c r="AC9" s="1989"/>
      <c r="AD9" s="97">
        <v>300</v>
      </c>
      <c r="AE9" s="97">
        <f>'Labor Results Matrix'!$L$132*'Labor Adjustment'!$B$5</f>
        <v>147.19887673119982</v>
      </c>
      <c r="AF9" s="97">
        <f>AE9*Inflation!$D$3</f>
        <v>158.70888186125757</v>
      </c>
    </row>
    <row r="10" spans="1:32" ht="15.6">
      <c r="A10" s="2182"/>
      <c r="B10" s="47">
        <v>300</v>
      </c>
      <c r="C10" s="50">
        <v>1.25496758</v>
      </c>
      <c r="D10" s="6">
        <f>((B10*'Equipment Results Matrix'!$R$245)+('Equipment Results Matrix'!$R$246*C10)+'Equipment Results Matrix'!$R$247+'Equipment Results Matrix'!$R$250+'Equipment Results Matrix'!$T$252)*(1+'Equipment Results Matrix'!$T$254)</f>
        <v>177106.09362951375</v>
      </c>
      <c r="E10" s="44">
        <f>D10*Inflation!$D$3</f>
        <v>190954.65070758635</v>
      </c>
      <c r="F10" s="6">
        <f>(($B10*'Equipment Results Matrix'!$R$245)+('Equipment Results Matrix'!$R$246*F$6)+'Equipment Results Matrix'!$R$247+'Equipment Results Matrix'!$R$250+'Equipment Results Matrix'!$T$252)*(1+'Equipment Results Matrix'!$T$254)</f>
        <v>183462.45075824996</v>
      </c>
      <c r="G10" s="6">
        <f>(($B10*'Equipment Results Matrix'!$R$245)+('Equipment Results Matrix'!$R$246*G$6)+'Equipment Results Matrix'!$R$247+'Equipment Results Matrix'!$R$250+'Equipment Results Matrix'!$T$252)*(1+'Equipment Results Matrix'!$T$254)</f>
        <v>189116.61949824996</v>
      </c>
      <c r="H10" s="6">
        <f>(($B10*'Equipment Results Matrix'!$R$245)+('Equipment Results Matrix'!$R$246*H$6)+'Equipment Results Matrix'!$R$247+'Equipment Results Matrix'!$R$250+'Equipment Results Matrix'!$T$252)*(1+'Equipment Results Matrix'!$T$254)</f>
        <v>193357.24605324998</v>
      </c>
      <c r="I10" s="6">
        <f>(($B10*'Equipment Results Matrix'!$R$245)+('Equipment Results Matrix'!$R$246*I$6)+'Equipment Results Matrix'!$R$247+'Equipment Results Matrix'!$R$250+'Equipment Results Matrix'!$T$252)*(1+'Equipment Results Matrix'!$T$254)</f>
        <v>196184.33042324995</v>
      </c>
      <c r="J10" s="43">
        <f>F10*Inflation!$D$3</f>
        <v>197808.03406902836</v>
      </c>
      <c r="K10" s="43">
        <f>G10*Inflation!$D$3</f>
        <v>203904.32242738965</v>
      </c>
      <c r="L10" s="43">
        <f>H10*Inflation!$D$3</f>
        <v>208476.53869616066</v>
      </c>
      <c r="M10" s="43">
        <f>I10*Inflation!$D$3</f>
        <v>211524.6828753413</v>
      </c>
      <c r="N10" s="332">
        <f>$AF$9</f>
        <v>158.70888186125757</v>
      </c>
      <c r="O10" s="333">
        <v>0.05</v>
      </c>
      <c r="P10" s="1477">
        <v>23</v>
      </c>
      <c r="Q10" s="341">
        <f t="shared" si="1"/>
        <v>7.666666666666667</v>
      </c>
      <c r="R10" s="334">
        <f>((1+$O10)^Q10-1)/($O10*(1+$O10)^Q10)</f>
        <v>6.2412587657030576</v>
      </c>
      <c r="S10" s="36">
        <f>((1+$O10)^P10-1)/($O10*(1+$O10)^P10)</f>
        <v>13.488573884064344</v>
      </c>
      <c r="T10" s="36">
        <f>R10/S10</f>
        <v>0.4627070896706581</v>
      </c>
      <c r="U10" s="334">
        <f t="shared" si="2"/>
        <v>88429.506412815259</v>
      </c>
      <c r="V10" s="335">
        <f t="shared" si="3"/>
        <v>317.60963258085758</v>
      </c>
      <c r="W10" s="335">
        <f t="shared" si="4"/>
        <v>337.93059377539521</v>
      </c>
      <c r="X10" s="335">
        <f t="shared" si="5"/>
        <v>353.17131467129855</v>
      </c>
      <c r="Y10" s="335">
        <f t="shared" si="6"/>
        <v>363.33179526856736</v>
      </c>
    </row>
    <row r="11" spans="1:32" ht="15.6">
      <c r="A11" s="2182"/>
      <c r="B11" s="47">
        <v>400</v>
      </c>
      <c r="C11" s="50">
        <v>1.25496758</v>
      </c>
      <c r="D11" s="6">
        <f>((B11*'Equipment Results Matrix'!$R$245)+('Equipment Results Matrix'!$R$246*C11)+'Equipment Results Matrix'!$R$247+'Equipment Results Matrix'!$R$250+'Equipment Results Matrix'!$T$252)*(1+'Equipment Results Matrix'!$T$254)</f>
        <v>240217.16862951376</v>
      </c>
      <c r="E11" s="44">
        <f>D11*Inflation!$D$3</f>
        <v>259000.60573618845</v>
      </c>
      <c r="F11" s="6">
        <f>(($B11*'Equipment Results Matrix'!$R$245)+('Equipment Results Matrix'!$R$246*F$6)+'Equipment Results Matrix'!$R$247+'Equipment Results Matrix'!$R$250+'Equipment Results Matrix'!$T$252)*(1+'Equipment Results Matrix'!$T$254)</f>
        <v>246573.52575825001</v>
      </c>
      <c r="G11" s="6">
        <f>(($B11*'Equipment Results Matrix'!$R$245)+('Equipment Results Matrix'!$R$246*G$6)+'Equipment Results Matrix'!$R$247+'Equipment Results Matrix'!$R$250+'Equipment Results Matrix'!$T$252)*(1+'Equipment Results Matrix'!$T$254)</f>
        <v>252227.69449824997</v>
      </c>
      <c r="H11" s="6">
        <f>(($B11*'Equipment Results Matrix'!$R$245)+('Equipment Results Matrix'!$R$246*H$6)+'Equipment Results Matrix'!$R$247+'Equipment Results Matrix'!$R$250+'Equipment Results Matrix'!$T$252)*(1+'Equipment Results Matrix'!$T$254)</f>
        <v>256468.32105324999</v>
      </c>
      <c r="I11" s="6">
        <f>(($B11*'Equipment Results Matrix'!$R$245)+('Equipment Results Matrix'!$R$246*I$6)+'Equipment Results Matrix'!$R$247+'Equipment Results Matrix'!$R$250+'Equipment Results Matrix'!$T$252)*(1+'Equipment Results Matrix'!$T$254)</f>
        <v>259295.40542324999</v>
      </c>
      <c r="J11" s="43">
        <f>F11*Inflation!$D$3</f>
        <v>265853.98909763049</v>
      </c>
      <c r="K11" s="43">
        <f>G11*Inflation!$D$3</f>
        <v>271950.27745599177</v>
      </c>
      <c r="L11" s="43">
        <f>H11*Inflation!$D$3</f>
        <v>276522.49372476275</v>
      </c>
      <c r="M11" s="43">
        <f>I11*Inflation!$D$3</f>
        <v>279570.63790394343</v>
      </c>
      <c r="N11" s="332">
        <f>$AF$9</f>
        <v>158.70888186125757</v>
      </c>
      <c r="O11" s="333">
        <v>0.05</v>
      </c>
      <c r="P11" s="1477">
        <v>23</v>
      </c>
      <c r="Q11" s="341">
        <f t="shared" si="1"/>
        <v>7.666666666666667</v>
      </c>
      <c r="R11" s="334">
        <f>((1+$O11)^Q11-1)/($O11*(1+$O11)^Q11)</f>
        <v>6.2412587657030576</v>
      </c>
      <c r="S11" s="36">
        <f>((1+$O11)^P11-1)/($O11*(1+$O11)^P11)</f>
        <v>13.488573884064344</v>
      </c>
      <c r="T11" s="36">
        <f>R11/S11</f>
        <v>0.4627070896706581</v>
      </c>
      <c r="U11" s="334">
        <f t="shared" si="2"/>
        <v>119914.85222796022</v>
      </c>
      <c r="V11" s="335">
        <f t="shared" si="3"/>
        <v>316.92058897350563</v>
      </c>
      <c r="W11" s="335">
        <f t="shared" si="4"/>
        <v>332.16130986940885</v>
      </c>
      <c r="X11" s="335">
        <f t="shared" si="5"/>
        <v>343.59185054133633</v>
      </c>
      <c r="Y11" s="335">
        <f t="shared" si="6"/>
        <v>351.212210989288</v>
      </c>
    </row>
    <row r="12" spans="1:32" ht="18" customHeight="1">
      <c r="A12" s="2182"/>
      <c r="B12" s="2242" t="s">
        <v>160</v>
      </c>
      <c r="C12" s="2242"/>
      <c r="D12" s="2242"/>
      <c r="E12" s="2242"/>
      <c r="F12" s="2242"/>
      <c r="G12" s="2242"/>
      <c r="H12" s="2242"/>
      <c r="I12" s="2242"/>
      <c r="J12" s="2242"/>
      <c r="K12" s="2242"/>
      <c r="L12" s="2242"/>
      <c r="M12" s="2242"/>
      <c r="N12" s="2242"/>
      <c r="O12" s="2242"/>
      <c r="P12" s="2242"/>
      <c r="Q12" s="2242"/>
      <c r="R12" s="2242"/>
      <c r="S12" s="2242"/>
      <c r="T12" s="2242"/>
      <c r="U12" s="2242"/>
      <c r="V12" s="2242"/>
      <c r="W12" s="2242"/>
      <c r="X12" s="2242"/>
      <c r="Y12" s="2242"/>
    </row>
    <row r="13" spans="1:32" ht="15" customHeight="1">
      <c r="A13" s="2182"/>
      <c r="B13" s="2160" t="s">
        <v>31</v>
      </c>
      <c r="C13" s="2160" t="s">
        <v>37</v>
      </c>
      <c r="D13" s="2160" t="s">
        <v>44</v>
      </c>
      <c r="E13" s="2160" t="s">
        <v>113</v>
      </c>
      <c r="F13" s="2160" t="s">
        <v>235</v>
      </c>
      <c r="G13" s="2160"/>
      <c r="H13" s="2160"/>
      <c r="I13" s="2160"/>
      <c r="J13" s="2160" t="s">
        <v>236</v>
      </c>
      <c r="K13" s="2160"/>
      <c r="L13" s="2160"/>
      <c r="M13" s="2160"/>
      <c r="N13" s="2208" t="s">
        <v>733</v>
      </c>
      <c r="O13" s="2207" t="s">
        <v>621</v>
      </c>
      <c r="P13" s="2207" t="s">
        <v>622</v>
      </c>
      <c r="Q13" s="2207" t="s">
        <v>261</v>
      </c>
      <c r="R13" s="2210" t="s">
        <v>623</v>
      </c>
      <c r="S13" s="2210" t="s">
        <v>624</v>
      </c>
      <c r="T13" s="2210" t="s">
        <v>629</v>
      </c>
      <c r="U13" s="2214" t="s">
        <v>625</v>
      </c>
      <c r="V13" s="2214" t="s">
        <v>1799</v>
      </c>
      <c r="W13" s="2214"/>
      <c r="X13" s="2214"/>
      <c r="Y13" s="2214"/>
    </row>
    <row r="14" spans="1:32" ht="15" customHeight="1">
      <c r="A14" s="2182"/>
      <c r="B14" s="2160"/>
      <c r="C14" s="2160"/>
      <c r="D14" s="2160"/>
      <c r="E14" s="2160"/>
      <c r="F14" s="2160" t="s">
        <v>229</v>
      </c>
      <c r="G14" s="2160"/>
      <c r="H14" s="2160"/>
      <c r="I14" s="2160"/>
      <c r="J14" s="2160" t="s">
        <v>229</v>
      </c>
      <c r="K14" s="2160"/>
      <c r="L14" s="2160"/>
      <c r="M14" s="2160"/>
      <c r="N14" s="2208"/>
      <c r="O14" s="2207"/>
      <c r="P14" s="2207"/>
      <c r="Q14" s="2207"/>
      <c r="R14" s="2210"/>
      <c r="S14" s="2210"/>
      <c r="T14" s="2210"/>
      <c r="U14" s="2214"/>
      <c r="V14" s="2211" t="s">
        <v>229</v>
      </c>
      <c r="W14" s="2211"/>
      <c r="X14" s="2211"/>
      <c r="Y14" s="2211"/>
    </row>
    <row r="15" spans="1:32" ht="15.75" customHeight="1">
      <c r="A15" s="2182"/>
      <c r="B15" s="2160"/>
      <c r="C15" s="2160"/>
      <c r="D15" s="2160"/>
      <c r="E15" s="2160"/>
      <c r="F15" s="1480">
        <v>1.21</v>
      </c>
      <c r="G15" s="1480">
        <v>1.17</v>
      </c>
      <c r="H15" s="1480">
        <v>1.1399999999999999</v>
      </c>
      <c r="I15" s="1498">
        <v>1.1200000000000001</v>
      </c>
      <c r="J15" s="1480">
        <v>1.21</v>
      </c>
      <c r="K15" s="1480">
        <v>1.17</v>
      </c>
      <c r="L15" s="1480">
        <v>1.1399999999999999</v>
      </c>
      <c r="M15" s="1498">
        <v>1.1200000000000001</v>
      </c>
      <c r="N15" s="2208"/>
      <c r="O15" s="2207"/>
      <c r="P15" s="2207"/>
      <c r="Q15" s="2207"/>
      <c r="R15" s="2210"/>
      <c r="S15" s="2210"/>
      <c r="T15" s="2210"/>
      <c r="U15" s="2214"/>
      <c r="V15" s="1499">
        <v>1.21</v>
      </c>
      <c r="W15" s="1499">
        <v>1.17</v>
      </c>
      <c r="X15" s="1499">
        <v>1.1399999999999999</v>
      </c>
      <c r="Y15" s="1500">
        <v>1.1200000000000001</v>
      </c>
    </row>
    <row r="16" spans="1:32" ht="15.6">
      <c r="A16" s="2182"/>
      <c r="B16" s="8">
        <v>100</v>
      </c>
      <c r="C16" s="50">
        <v>1.1879999999999999</v>
      </c>
      <c r="D16" s="6">
        <f>((B16*'Equipment Results Matrix'!$R$245)+('Equipment Results Matrix'!$R$246*C16)+'Equipment Results Matrix'!$R$247+'Equipment Results Matrix'!$R$250+'Equipment Results Matrix'!$T$252)*(1+'Equipment Results Matrix'!$T$254)</f>
        <v>60350.093565250005</v>
      </c>
      <c r="E16" s="44">
        <f>D16*Inflation!$D$3</f>
        <v>65069.082608922923</v>
      </c>
      <c r="F16" s="8" t="s">
        <v>35</v>
      </c>
      <c r="G16" s="6">
        <f>(($B16*'Equipment Results Matrix'!$R$245)+('Equipment Results Matrix'!$R$246*G$6)+'Equipment Results Matrix'!$R$247+'Equipment Results Matrix'!$R$250+'Equipment Results Matrix'!$T$252)*(1+'Equipment Results Matrix'!$T$254)</f>
        <v>62894.469498249979</v>
      </c>
      <c r="H16" s="6">
        <f>(($B16*'Equipment Results Matrix'!$R$245)+('Equipment Results Matrix'!$R$246*H$6)+'Equipment Results Matrix'!$R$247+'Equipment Results Matrix'!$R$250+'Equipment Results Matrix'!$T$252)*(1+'Equipment Results Matrix'!$T$254)</f>
        <v>67135.096053250003</v>
      </c>
      <c r="I16" s="6">
        <f>(($B16*'Equipment Results Matrix'!$R$245)+('Equipment Results Matrix'!$R$246*I$6)+'Equipment Results Matrix'!$R$247+'Equipment Results Matrix'!$R$250+'Equipment Results Matrix'!$T$252)*(1+'Equipment Results Matrix'!$T$254)</f>
        <v>69962.180423249971</v>
      </c>
      <c r="J16" s="42" t="s">
        <v>35</v>
      </c>
      <c r="K16" s="43">
        <f>G16*Inflation!$D$3</f>
        <v>67812.412370185484</v>
      </c>
      <c r="L16" s="43">
        <f>H16*Inflation!$D$3</f>
        <v>72384.628638956507</v>
      </c>
      <c r="M16" s="43">
        <f>I16*Inflation!$D$3</f>
        <v>75432.77281813712</v>
      </c>
      <c r="N16" s="332">
        <f>$AF$7</f>
        <v>229.89816476862316</v>
      </c>
      <c r="O16" s="333">
        <v>0.05</v>
      </c>
      <c r="P16" s="1477">
        <v>23</v>
      </c>
      <c r="Q16" s="341">
        <f>P16/3</f>
        <v>7.666666666666667</v>
      </c>
      <c r="R16" s="334">
        <f>((1+$O16)^Q16-1)/($O16*(1+$O16)^Q16)</f>
        <v>6.2412587657030576</v>
      </c>
      <c r="S16" s="36">
        <f>((1+$O16)^P16-1)/($O16*(1+$O16)^P16)</f>
        <v>13.488573884064344</v>
      </c>
      <c r="T16" s="36">
        <f>R16/S16</f>
        <v>0.4627070896706581</v>
      </c>
      <c r="U16" s="334">
        <f>(E16+N16)*T16</f>
        <v>30214.301352255072</v>
      </c>
      <c r="V16" s="335" t="s">
        <v>22</v>
      </c>
      <c r="W16" s="335">
        <f>($U16+(K16-$E16))/$B16</f>
        <v>329.57631113517635</v>
      </c>
      <c r="X16" s="335">
        <f t="shared" ref="X16:Y20" si="7">($U16+(L16-$E16))/$B16</f>
        <v>375.29847382288659</v>
      </c>
      <c r="Y16" s="335">
        <f t="shared" si="7"/>
        <v>405.77991561469275</v>
      </c>
    </row>
    <row r="17" spans="1:33" ht="15.6">
      <c r="A17" s="2182"/>
      <c r="B17" s="8">
        <v>150</v>
      </c>
      <c r="C17" s="50">
        <v>1.1879999999999999</v>
      </c>
      <c r="D17" s="6">
        <f>((B17*'Equipment Results Matrix'!$R$245)+('Equipment Results Matrix'!$R$246*C17)+'Equipment Results Matrix'!$R$247+'Equipment Results Matrix'!$R$250+'Equipment Results Matrix'!$T$252)*(1+'Equipment Results Matrix'!$T$254)</f>
        <v>91905.631065249996</v>
      </c>
      <c r="E17" s="44">
        <f>D17*Inflation!$D$3</f>
        <v>99092.060123223957</v>
      </c>
      <c r="F17" s="8" t="s">
        <v>35</v>
      </c>
      <c r="G17" s="6">
        <f>(($B17*'Equipment Results Matrix'!$R$245)+('Equipment Results Matrix'!$R$246*G$6)+'Equipment Results Matrix'!$R$247+'Equipment Results Matrix'!$R$250+'Equipment Results Matrix'!$T$252)*(1+'Equipment Results Matrix'!$T$254)</f>
        <v>94450.00699824997</v>
      </c>
      <c r="H17" s="6">
        <f>(($B17*'Equipment Results Matrix'!$R$245)+('Equipment Results Matrix'!$R$246*H$6)+'Equipment Results Matrix'!$R$247+'Equipment Results Matrix'!$R$250+'Equipment Results Matrix'!$T$252)*(1+'Equipment Results Matrix'!$T$254)</f>
        <v>98690.633553249994</v>
      </c>
      <c r="I17" s="6">
        <f>(($B17*'Equipment Results Matrix'!$R$245)+('Equipment Results Matrix'!$R$246*I$6)+'Equipment Results Matrix'!$R$247+'Equipment Results Matrix'!$R$250+'Equipment Results Matrix'!$T$252)*(1+'Equipment Results Matrix'!$T$254)</f>
        <v>101517.71792324996</v>
      </c>
      <c r="J17" s="42" t="s">
        <v>35</v>
      </c>
      <c r="K17" s="43">
        <f>G17*Inflation!$D$3</f>
        <v>101835.38988448653</v>
      </c>
      <c r="L17" s="43">
        <f>H17*Inflation!$D$3</f>
        <v>106407.60615325754</v>
      </c>
      <c r="M17" s="43">
        <f>I17*Inflation!$D$3</f>
        <v>109455.75033243815</v>
      </c>
      <c r="N17" s="332">
        <f>$AF$8</f>
        <v>167.06657966902253</v>
      </c>
      <c r="O17" s="333">
        <v>0.05</v>
      </c>
      <c r="P17" s="1477">
        <v>23</v>
      </c>
      <c r="Q17" s="341">
        <f t="shared" ref="Q17:Q20" si="8">P17/3</f>
        <v>7.666666666666667</v>
      </c>
      <c r="R17" s="334">
        <f>((1+$O17)^Q17-1)/($O17*(1+$O17)^Q17)</f>
        <v>6.2412587657030576</v>
      </c>
      <c r="S17" s="36">
        <f>((1+$O17)^P17-1)/($O17*(1+$O17)^P17)</f>
        <v>13.488573884064344</v>
      </c>
      <c r="T17" s="36">
        <f>R17/S17</f>
        <v>0.4627070896706581</v>
      </c>
      <c r="U17" s="334">
        <f t="shared" ref="U17:U20" si="9">(E17+N17)*T17</f>
        <v>45927.901639946715</v>
      </c>
      <c r="V17" s="335" t="s">
        <v>22</v>
      </c>
      <c r="W17" s="335">
        <f t="shared" ref="W17:W20" si="10">($U17+(K17-$E17))/$B17</f>
        <v>324.47487600806193</v>
      </c>
      <c r="X17" s="335">
        <f t="shared" si="7"/>
        <v>354.95631779986866</v>
      </c>
      <c r="Y17" s="335">
        <f t="shared" si="7"/>
        <v>375.27727899440606</v>
      </c>
      <c r="AA17" s="24"/>
      <c r="AB17" s="24"/>
      <c r="AC17" s="24"/>
      <c r="AD17" s="24"/>
      <c r="AE17" s="24"/>
      <c r="AF17" s="24"/>
      <c r="AG17" s="24"/>
    </row>
    <row r="18" spans="1:33" ht="15.6">
      <c r="A18" s="2182"/>
      <c r="B18" s="8">
        <v>200</v>
      </c>
      <c r="C18" s="50">
        <v>1.1879999999999999</v>
      </c>
      <c r="D18" s="6">
        <f>((B18*'Equipment Results Matrix'!$R$245)+('Equipment Results Matrix'!$R$246*C18)+'Equipment Results Matrix'!$R$247+'Equipment Results Matrix'!$R$250+'Equipment Results Matrix'!$T$252)*(1+'Equipment Results Matrix'!$T$254)</f>
        <v>123461.16856525</v>
      </c>
      <c r="E18" s="44">
        <f>D18*Inflation!$D$3</f>
        <v>133115.03763752501</v>
      </c>
      <c r="F18" s="8" t="s">
        <v>35</v>
      </c>
      <c r="G18" s="6">
        <f>(($B18*'Equipment Results Matrix'!$R$245)+('Equipment Results Matrix'!$R$246*G$6)+'Equipment Results Matrix'!$R$247+'Equipment Results Matrix'!$R$250+'Equipment Results Matrix'!$T$252)*(1+'Equipment Results Matrix'!$T$254)</f>
        <v>126005.54449824998</v>
      </c>
      <c r="H18" s="6">
        <f>(($B18*'Equipment Results Matrix'!$R$245)+('Equipment Results Matrix'!$R$246*H$6)+'Equipment Results Matrix'!$R$247+'Equipment Results Matrix'!$R$250+'Equipment Results Matrix'!$T$252)*(1+'Equipment Results Matrix'!$T$254)</f>
        <v>130246.17105325</v>
      </c>
      <c r="I18" s="6">
        <f>(($B18*'Equipment Results Matrix'!$R$245)+('Equipment Results Matrix'!$R$246*I$6)+'Equipment Results Matrix'!$R$247+'Equipment Results Matrix'!$R$250+'Equipment Results Matrix'!$T$252)*(1+'Equipment Results Matrix'!$T$254)</f>
        <v>133073.25542324997</v>
      </c>
      <c r="J18" s="42" t="s">
        <v>35</v>
      </c>
      <c r="K18" s="43">
        <f>G18*Inflation!$D$3</f>
        <v>135858.36739878758</v>
      </c>
      <c r="L18" s="43">
        <f>H18*Inflation!$D$3</f>
        <v>140430.58366755859</v>
      </c>
      <c r="M18" s="43">
        <f>I18*Inflation!$D$3</f>
        <v>143478.7278467392</v>
      </c>
      <c r="N18" s="332">
        <f>$AF$8</f>
        <v>167.06657966902253</v>
      </c>
      <c r="O18" s="333">
        <v>0.05</v>
      </c>
      <c r="P18" s="1477">
        <v>23</v>
      </c>
      <c r="Q18" s="341">
        <f t="shared" si="8"/>
        <v>7.666666666666667</v>
      </c>
      <c r="R18" s="334">
        <f>((1+$O18)^Q18-1)/($O18*(1+$O18)^Q18)</f>
        <v>6.2412587657030576</v>
      </c>
      <c r="S18" s="36">
        <f>((1+$O18)^P18-1)/($O18*(1+$O18)^P18)</f>
        <v>13.488573884064344</v>
      </c>
      <c r="T18" s="36">
        <f>R18/S18</f>
        <v>0.4627070896706581</v>
      </c>
      <c r="U18" s="334">
        <f t="shared" si="9"/>
        <v>61670.574547519194</v>
      </c>
      <c r="V18" s="335" t="s">
        <v>22</v>
      </c>
      <c r="W18" s="335">
        <f t="shared" si="10"/>
        <v>322.06952154390888</v>
      </c>
      <c r="X18" s="335">
        <f t="shared" si="7"/>
        <v>344.93060288776388</v>
      </c>
      <c r="Y18" s="335">
        <f t="shared" si="7"/>
        <v>360.17132378366694</v>
      </c>
      <c r="AA18" s="24"/>
      <c r="AB18" s="24"/>
      <c r="AC18" s="24"/>
      <c r="AD18" s="24"/>
      <c r="AE18" s="24"/>
      <c r="AF18" s="24"/>
      <c r="AG18" s="24"/>
    </row>
    <row r="19" spans="1:33" ht="15.6">
      <c r="A19" s="2182"/>
      <c r="B19" s="47">
        <v>300</v>
      </c>
      <c r="C19" s="50">
        <v>1.1879999999999999</v>
      </c>
      <c r="D19" s="6">
        <f>((B19*'Equipment Results Matrix'!$R$245)+('Equipment Results Matrix'!$R$246*C19)+'Equipment Results Matrix'!$R$247+'Equipment Results Matrix'!$R$250+'Equipment Results Matrix'!$T$252)*(1+'Equipment Results Matrix'!$T$254)</f>
        <v>186572.24356524998</v>
      </c>
      <c r="E19" s="44">
        <f>D19*Inflation!$D$3</f>
        <v>201160.9926661271</v>
      </c>
      <c r="F19" s="8" t="s">
        <v>35</v>
      </c>
      <c r="G19" s="6">
        <f>(($B19*'Equipment Results Matrix'!$R$245)+('Equipment Results Matrix'!$R$246*G$6)+'Equipment Results Matrix'!$R$247+'Equipment Results Matrix'!$R$250+'Equipment Results Matrix'!$T$252)*(1+'Equipment Results Matrix'!$T$254)</f>
        <v>189116.61949824996</v>
      </c>
      <c r="H19" s="6">
        <f>(($B19*'Equipment Results Matrix'!$R$245)+('Equipment Results Matrix'!$R$246*H$6)+'Equipment Results Matrix'!$R$247+'Equipment Results Matrix'!$R$250+'Equipment Results Matrix'!$T$252)*(1+'Equipment Results Matrix'!$T$254)</f>
        <v>193357.24605324998</v>
      </c>
      <c r="I19" s="6">
        <f>(($B19*'Equipment Results Matrix'!$R$245)+('Equipment Results Matrix'!$R$246*I$6)+'Equipment Results Matrix'!$R$247+'Equipment Results Matrix'!$R$250+'Equipment Results Matrix'!$T$252)*(1+'Equipment Results Matrix'!$T$254)</f>
        <v>196184.33042324995</v>
      </c>
      <c r="J19" s="42" t="s">
        <v>35</v>
      </c>
      <c r="K19" s="43">
        <f>G19*Inflation!$D$3</f>
        <v>203904.32242738965</v>
      </c>
      <c r="L19" s="43">
        <f>H19*Inflation!$D$3</f>
        <v>208476.53869616066</v>
      </c>
      <c r="M19" s="43">
        <f>I19*Inflation!$D$3</f>
        <v>211524.6828753413</v>
      </c>
      <c r="N19" s="332">
        <f>$AF$9</f>
        <v>158.70888186125757</v>
      </c>
      <c r="O19" s="333">
        <v>0.05</v>
      </c>
      <c r="P19" s="1477">
        <v>23</v>
      </c>
      <c r="Q19" s="341">
        <f t="shared" si="8"/>
        <v>7.666666666666667</v>
      </c>
      <c r="R19" s="334">
        <f>((1+$O19)^Q19-1)/($O19*(1+$O19)^Q19)</f>
        <v>6.2412587657030576</v>
      </c>
      <c r="S19" s="36">
        <f>((1+$O19)^P19-1)/($O19*(1+$O19)^P19)</f>
        <v>13.488573884064344</v>
      </c>
      <c r="T19" s="36">
        <f>R19/S19</f>
        <v>0.4627070896706581</v>
      </c>
      <c r="U19" s="334">
        <f t="shared" si="9"/>
        <v>93152.053196635185</v>
      </c>
      <c r="V19" s="335" t="s">
        <v>22</v>
      </c>
      <c r="W19" s="335">
        <f t="shared" si="10"/>
        <v>319.65127652632577</v>
      </c>
      <c r="X19" s="335">
        <f t="shared" si="7"/>
        <v>334.89199742222911</v>
      </c>
      <c r="Y19" s="335">
        <f t="shared" si="7"/>
        <v>345.05247801949793</v>
      </c>
      <c r="AA19" s="24"/>
      <c r="AB19" s="24"/>
      <c r="AC19" s="24"/>
      <c r="AD19" s="24"/>
      <c r="AE19" s="24"/>
      <c r="AF19" s="24"/>
      <c r="AG19" s="24"/>
    </row>
    <row r="20" spans="1:33" ht="15.6">
      <c r="A20" s="2182"/>
      <c r="B20" s="47">
        <v>400</v>
      </c>
      <c r="C20" s="50">
        <v>1.1879999999999999</v>
      </c>
      <c r="D20" s="6">
        <f>((B20*'Equipment Results Matrix'!$R$245)+('Equipment Results Matrix'!$R$246*C20)+'Equipment Results Matrix'!$R$247+'Equipment Results Matrix'!$R$250+'Equipment Results Matrix'!$T$252)*(1+'Equipment Results Matrix'!$T$254)</f>
        <v>249683.31856525003</v>
      </c>
      <c r="E20" s="44">
        <f>D20*Inflation!$D$3</f>
        <v>269206.94769472926</v>
      </c>
      <c r="F20" s="8" t="s">
        <v>35</v>
      </c>
      <c r="G20" s="6">
        <f>(($B20*'Equipment Results Matrix'!$R$245)+('Equipment Results Matrix'!$R$246*G$6)+'Equipment Results Matrix'!$R$247+'Equipment Results Matrix'!$R$250+'Equipment Results Matrix'!$T$252)*(1+'Equipment Results Matrix'!$T$254)</f>
        <v>252227.69449824997</v>
      </c>
      <c r="H20" s="6">
        <f>(($B20*'Equipment Results Matrix'!$R$245)+('Equipment Results Matrix'!$R$246*H$6)+'Equipment Results Matrix'!$R$247+'Equipment Results Matrix'!$R$250+'Equipment Results Matrix'!$T$252)*(1+'Equipment Results Matrix'!$T$254)</f>
        <v>256468.32105324999</v>
      </c>
      <c r="I20" s="6">
        <f>(($B20*'Equipment Results Matrix'!$R$245)+('Equipment Results Matrix'!$R$246*I$6)+'Equipment Results Matrix'!$R$247+'Equipment Results Matrix'!$R$250+'Equipment Results Matrix'!$T$252)*(1+'Equipment Results Matrix'!$T$254)</f>
        <v>259295.40542324999</v>
      </c>
      <c r="J20" s="42" t="s">
        <v>35</v>
      </c>
      <c r="K20" s="43">
        <f>G20*Inflation!$D$3</f>
        <v>271950.27745599177</v>
      </c>
      <c r="L20" s="43">
        <f>H20*Inflation!$D$3</f>
        <v>276522.49372476275</v>
      </c>
      <c r="M20" s="43">
        <f>I20*Inflation!$D$3</f>
        <v>279570.63790394343</v>
      </c>
      <c r="N20" s="332">
        <f>$AF$9</f>
        <v>158.70888186125757</v>
      </c>
      <c r="O20" s="333">
        <v>0.05</v>
      </c>
      <c r="P20" s="1477">
        <v>23</v>
      </c>
      <c r="Q20" s="341">
        <f t="shared" si="8"/>
        <v>7.666666666666667</v>
      </c>
      <c r="R20" s="334">
        <f>((1+$O20)^Q20-1)/($O20*(1+$O20)^Q20)</f>
        <v>6.2412587657030576</v>
      </c>
      <c r="S20" s="36">
        <f>((1+$O20)^P20-1)/($O20*(1+$O20)^P20)</f>
        <v>13.488573884064344</v>
      </c>
      <c r="T20" s="36">
        <f>R20/S20</f>
        <v>0.4627070896706581</v>
      </c>
      <c r="U20" s="334">
        <f t="shared" si="9"/>
        <v>124637.39901178016</v>
      </c>
      <c r="V20" s="335" t="s">
        <v>22</v>
      </c>
      <c r="W20" s="335">
        <f t="shared" si="10"/>
        <v>318.45182193260666</v>
      </c>
      <c r="X20" s="335">
        <f t="shared" si="7"/>
        <v>329.88236260453414</v>
      </c>
      <c r="Y20" s="335">
        <f t="shared" si="7"/>
        <v>337.50272305248581</v>
      </c>
      <c r="AA20" s="24"/>
      <c r="AB20" s="24"/>
      <c r="AC20" s="24"/>
      <c r="AD20" s="24"/>
      <c r="AE20" s="24"/>
      <c r="AF20" s="24"/>
      <c r="AG20" s="24"/>
    </row>
    <row r="21" spans="1:33">
      <c r="AA21" s="24"/>
      <c r="AB21" s="24"/>
      <c r="AC21" s="24"/>
      <c r="AD21" s="24"/>
      <c r="AE21" s="24"/>
      <c r="AF21" s="24"/>
      <c r="AG21" s="24"/>
    </row>
    <row r="22" spans="1:33">
      <c r="AA22" s="24"/>
      <c r="AB22" s="24"/>
      <c r="AC22" s="24"/>
      <c r="AD22" s="24"/>
      <c r="AE22" s="24"/>
      <c r="AF22" s="24"/>
      <c r="AG22" s="24"/>
    </row>
    <row r="23" spans="1:33" ht="18">
      <c r="A23" s="2240" t="s">
        <v>159</v>
      </c>
      <c r="B23" s="2240"/>
      <c r="C23" s="2240"/>
      <c r="D23" s="2240"/>
      <c r="E23" s="2240"/>
      <c r="F23" s="2240"/>
      <c r="G23" s="2240"/>
      <c r="H23" s="2240"/>
      <c r="I23" s="2240"/>
      <c r="J23" s="2240"/>
      <c r="K23" s="2240"/>
      <c r="L23" s="2240"/>
      <c r="M23" s="2240"/>
      <c r="N23" s="2240"/>
      <c r="O23" s="2240"/>
      <c r="P23" s="2240"/>
      <c r="Q23" s="2240"/>
      <c r="R23" s="2240"/>
      <c r="S23" s="2240"/>
      <c r="T23" s="2240"/>
      <c r="U23" s="2240"/>
      <c r="V23" s="2240"/>
      <c r="W23" s="2240"/>
      <c r="X23" s="2240"/>
      <c r="Y23" s="2240"/>
    </row>
    <row r="24" spans="1:33" ht="15" customHeight="1">
      <c r="A24" s="2182" t="s">
        <v>162</v>
      </c>
      <c r="B24" s="2160" t="s">
        <v>31</v>
      </c>
      <c r="C24" s="2160" t="s">
        <v>37</v>
      </c>
      <c r="D24" s="2160" t="s">
        <v>44</v>
      </c>
      <c r="E24" s="2160" t="s">
        <v>113</v>
      </c>
      <c r="F24" s="2160" t="s">
        <v>235</v>
      </c>
      <c r="G24" s="2160"/>
      <c r="H24" s="2160"/>
      <c r="I24" s="2160"/>
      <c r="J24" s="2160" t="s">
        <v>236</v>
      </c>
      <c r="K24" s="2160"/>
      <c r="L24" s="2160"/>
      <c r="M24" s="2160"/>
      <c r="N24" s="2208" t="s">
        <v>733</v>
      </c>
      <c r="O24" s="2207" t="s">
        <v>621</v>
      </c>
      <c r="P24" s="2207" t="s">
        <v>622</v>
      </c>
      <c r="Q24" s="2207" t="s">
        <v>261</v>
      </c>
      <c r="R24" s="2210" t="s">
        <v>623</v>
      </c>
      <c r="S24" s="2210" t="s">
        <v>624</v>
      </c>
      <c r="T24" s="2210" t="s">
        <v>629</v>
      </c>
      <c r="U24" s="2214" t="s">
        <v>625</v>
      </c>
      <c r="V24" s="2214" t="s">
        <v>1799</v>
      </c>
      <c r="W24" s="2214"/>
      <c r="X24" s="2214"/>
      <c r="Y24" s="2214"/>
    </row>
    <row r="25" spans="1:33" ht="15" customHeight="1">
      <c r="A25" s="2182"/>
      <c r="B25" s="2160"/>
      <c r="C25" s="2160"/>
      <c r="D25" s="2160"/>
      <c r="E25" s="2160"/>
      <c r="F25" s="2160" t="s">
        <v>229</v>
      </c>
      <c r="G25" s="2160"/>
      <c r="H25" s="2160"/>
      <c r="I25" s="2160"/>
      <c r="J25" s="2160" t="s">
        <v>229</v>
      </c>
      <c r="K25" s="2160"/>
      <c r="L25" s="2160"/>
      <c r="M25" s="2160"/>
      <c r="N25" s="2208"/>
      <c r="O25" s="2207"/>
      <c r="P25" s="2207"/>
      <c r="Q25" s="2207"/>
      <c r="R25" s="2210"/>
      <c r="S25" s="2210"/>
      <c r="T25" s="2210"/>
      <c r="U25" s="2214"/>
      <c r="V25" s="2211" t="s">
        <v>229</v>
      </c>
      <c r="W25" s="2211"/>
      <c r="X25" s="2211"/>
      <c r="Y25" s="2211"/>
    </row>
    <row r="26" spans="1:33" ht="15.75" customHeight="1">
      <c r="A26" s="2182"/>
      <c r="B26" s="2160"/>
      <c r="C26" s="2160"/>
      <c r="D26" s="2160"/>
      <c r="E26" s="2160"/>
      <c r="F26" s="1480">
        <v>1.21</v>
      </c>
      <c r="G26" s="1480">
        <v>1.17</v>
      </c>
      <c r="H26" s="1480">
        <v>1.1399999999999999</v>
      </c>
      <c r="I26" s="1498">
        <v>1.1200000000000001</v>
      </c>
      <c r="J26" s="1480">
        <v>1.21</v>
      </c>
      <c r="K26" s="1480">
        <v>1.17</v>
      </c>
      <c r="L26" s="1480">
        <v>1.1399999999999999</v>
      </c>
      <c r="M26" s="1498">
        <v>1.1200000000000001</v>
      </c>
      <c r="N26" s="2208"/>
      <c r="O26" s="2207"/>
      <c r="P26" s="2207"/>
      <c r="Q26" s="2207"/>
      <c r="R26" s="2210"/>
      <c r="S26" s="2210"/>
      <c r="T26" s="2210"/>
      <c r="U26" s="2214"/>
      <c r="V26" s="1499">
        <v>1.21</v>
      </c>
      <c r="W26" s="1499">
        <v>1.17</v>
      </c>
      <c r="X26" s="1499">
        <v>1.1399999999999999</v>
      </c>
      <c r="Y26" s="1500">
        <v>1.1200000000000001</v>
      </c>
    </row>
    <row r="27" spans="1:33" ht="15.6">
      <c r="A27" s="2182"/>
      <c r="B27" s="8">
        <v>100</v>
      </c>
      <c r="C27" s="50">
        <v>1.25496758</v>
      </c>
      <c r="D27" s="6">
        <f>((B27*'Equipment Results Matrix'!$R$245)+('Equipment Results Matrix'!$R$246*C27)+'Equipment Results Matrix'!$R$248+'Equipment Results Matrix'!$R$250+'Equipment Results Matrix'!$T$252)*(1+'Equipment Results Matrix'!$T$254)</f>
        <v>53531.443504513751</v>
      </c>
      <c r="E27" s="44">
        <f>D27*Inflation!$D$3</f>
        <v>57717.257982442803</v>
      </c>
      <c r="F27" s="6">
        <f>(($B27*'Equipment Results Matrix'!$R$245)+('Equipment Results Matrix'!$R$246*F$6)+'Equipment Results Matrix'!$R$248+'Equipment Results Matrix'!$R$250+'Equipment Results Matrix'!$T$252)*(1+'Equipment Results Matrix'!$T$254)</f>
        <v>59887.800633249994</v>
      </c>
      <c r="G27" s="6">
        <f>(($B27*'Equipment Results Matrix'!$R$245)+('Equipment Results Matrix'!$R$246*G$6)+'Equipment Results Matrix'!$R$248+'Equipment Results Matrix'!$R$250+'Equipment Results Matrix'!$T$252)*(1+'Equipment Results Matrix'!$T$254)</f>
        <v>65541.969373249973</v>
      </c>
      <c r="H27" s="6">
        <f>(($B27*'Equipment Results Matrix'!$R$245)+('Equipment Results Matrix'!$R$246*H$6)+'Equipment Results Matrix'!$R$248+'Equipment Results Matrix'!$R$250+'Equipment Results Matrix'!$T$252)*(1+'Equipment Results Matrix'!$T$254)</f>
        <v>69782.595928249997</v>
      </c>
      <c r="I27" s="6">
        <f>(($B27*'Equipment Results Matrix'!$R$245)+('Equipment Results Matrix'!$R$246*I$6)+'Equipment Results Matrix'!$R$248+'Equipment Results Matrix'!$R$250+'Equipment Results Matrix'!$T$252)*(1+'Equipment Results Matrix'!$T$254)</f>
        <v>72609.680298249965</v>
      </c>
      <c r="J27" s="43">
        <f>F27*Inflation!$D$3</f>
        <v>64570.641343884839</v>
      </c>
      <c r="K27" s="43">
        <f>G27*Inflation!$D$3</f>
        <v>70666.92970224614</v>
      </c>
      <c r="L27" s="43">
        <f>H27*Inflation!$D$3</f>
        <v>75239.145971017148</v>
      </c>
      <c r="M27" s="43">
        <f>I27*Inflation!$D$3</f>
        <v>78287.290150197761</v>
      </c>
      <c r="N27" s="332">
        <f>$AF$7</f>
        <v>229.89816476862316</v>
      </c>
      <c r="O27" s="333">
        <v>0.05</v>
      </c>
      <c r="P27" s="1477">
        <v>23</v>
      </c>
      <c r="Q27" s="341">
        <f>P27/3</f>
        <v>7.666666666666667</v>
      </c>
      <c r="R27" s="334">
        <f>((1+$O27)^Q27-1)/($O27*(1+$O27)^Q27)</f>
        <v>6.2412587657030576</v>
      </c>
      <c r="S27" s="36">
        <f>((1+$O27)^P27-1)/($O27*(1+$O27)^P27)</f>
        <v>13.488573884064344</v>
      </c>
      <c r="T27" s="36">
        <f>R27/S27</f>
        <v>0.4627070896706581</v>
      </c>
      <c r="U27" s="334">
        <f>(E27+N27)*T27</f>
        <v>26812.559975567383</v>
      </c>
      <c r="V27" s="335">
        <f>($U27+(J27-$E27))/$B27</f>
        <v>336.65943337009418</v>
      </c>
      <c r="W27" s="335">
        <f t="shared" ref="W27:W31" si="11">($U27+(K27-$E27))/$B27</f>
        <v>397.62231695370718</v>
      </c>
      <c r="X27" s="335">
        <f t="shared" ref="X27:X31" si="12">($U27+(L27-$E27))/$B27</f>
        <v>443.34447964141725</v>
      </c>
      <c r="Y27" s="335">
        <f t="shared" ref="Y27:Y31" si="13">($U27+(M27-$E27))/$B27</f>
        <v>473.82592143322341</v>
      </c>
    </row>
    <row r="28" spans="1:33" ht="15.6">
      <c r="A28" s="2182"/>
      <c r="B28" s="8">
        <v>150</v>
      </c>
      <c r="C28" s="50">
        <v>1.25496758</v>
      </c>
      <c r="D28" s="6">
        <f>((B28*'Equipment Results Matrix'!$R$245)+('Equipment Results Matrix'!$R$246*C28)+'Equipment Results Matrix'!$R$248+'Equipment Results Matrix'!$R$250+'Equipment Results Matrix'!$T$252)*(1+'Equipment Results Matrix'!$T$254)</f>
        <v>85086.981004513742</v>
      </c>
      <c r="E28" s="44">
        <f>D28*Inflation!$D$3</f>
        <v>91740.235496743844</v>
      </c>
      <c r="F28" s="6">
        <f>(($B28*'Equipment Results Matrix'!$R$245)+('Equipment Results Matrix'!$R$246*F$6)+'Equipment Results Matrix'!$R$248+'Equipment Results Matrix'!$R$250+'Equipment Results Matrix'!$T$252)*(1+'Equipment Results Matrix'!$T$254)</f>
        <v>91443.338133249999</v>
      </c>
      <c r="G28" s="6">
        <f>(($B28*'Equipment Results Matrix'!$R$245)+('Equipment Results Matrix'!$R$246*G$6)+'Equipment Results Matrix'!$R$248+'Equipment Results Matrix'!$R$250+'Equipment Results Matrix'!$T$252)*(1+'Equipment Results Matrix'!$T$254)</f>
        <v>97097.506873249979</v>
      </c>
      <c r="H28" s="6">
        <f>(($B28*'Equipment Results Matrix'!$R$245)+('Equipment Results Matrix'!$R$246*H$6)+'Equipment Results Matrix'!$R$248+'Equipment Results Matrix'!$R$250+'Equipment Results Matrix'!$T$252)*(1+'Equipment Results Matrix'!$T$254)</f>
        <v>101338.13342825</v>
      </c>
      <c r="I28" s="6">
        <f>(($B28*'Equipment Results Matrix'!$R$245)+('Equipment Results Matrix'!$R$246*I$6)+'Equipment Results Matrix'!$R$248+'Equipment Results Matrix'!$R$250+'Equipment Results Matrix'!$T$252)*(1+'Equipment Results Matrix'!$T$254)</f>
        <v>104165.21779824997</v>
      </c>
      <c r="J28" s="43">
        <f>F28*Inflation!$D$3</f>
        <v>98593.618858185902</v>
      </c>
      <c r="K28" s="43">
        <f>G28*Inflation!$D$3</f>
        <v>104689.90721654719</v>
      </c>
      <c r="L28" s="43">
        <f>H28*Inflation!$D$3</f>
        <v>109262.1234853182</v>
      </c>
      <c r="M28" s="43">
        <f>I28*Inflation!$D$3</f>
        <v>112310.26766449882</v>
      </c>
      <c r="N28" s="332">
        <f>$AF$8</f>
        <v>167.06657966902253</v>
      </c>
      <c r="O28" s="333">
        <v>0.05</v>
      </c>
      <c r="P28" s="1477">
        <v>23</v>
      </c>
      <c r="Q28" s="341">
        <f t="shared" ref="Q28:Q31" si="14">P28/3</f>
        <v>7.666666666666667</v>
      </c>
      <c r="R28" s="334">
        <f>((1+$O28)^Q28-1)/($O28*(1+$O28)^Q28)</f>
        <v>6.2412587657030576</v>
      </c>
      <c r="S28" s="36">
        <f>((1+$O28)^P28-1)/($O28*(1+$O28)^P28)</f>
        <v>13.488573884064344</v>
      </c>
      <c r="T28" s="36">
        <f>R28/S28</f>
        <v>0.4627070896706581</v>
      </c>
      <c r="U28" s="334">
        <f t="shared" ref="U28:U31" si="15">(E28+N28)*T28</f>
        <v>42526.160263259029</v>
      </c>
      <c r="V28" s="335">
        <f t="shared" ref="V28:V31" si="16">($U28+(J28-$E28))/$B28</f>
        <v>329.19695749800724</v>
      </c>
      <c r="W28" s="335">
        <f t="shared" si="11"/>
        <v>369.8388798870825</v>
      </c>
      <c r="X28" s="335">
        <f t="shared" si="12"/>
        <v>400.32032167888923</v>
      </c>
      <c r="Y28" s="335">
        <f t="shared" si="13"/>
        <v>420.64128287342675</v>
      </c>
    </row>
    <row r="29" spans="1:33" ht="15.6">
      <c r="A29" s="2182"/>
      <c r="B29" s="8">
        <v>200</v>
      </c>
      <c r="C29" s="50">
        <v>1.25496758</v>
      </c>
      <c r="D29" s="6">
        <f>((B29*'Equipment Results Matrix'!$R$245)+('Equipment Results Matrix'!$R$246*C29)+'Equipment Results Matrix'!$R$248+'Equipment Results Matrix'!$R$250+'Equipment Results Matrix'!$T$252)*(1+'Equipment Results Matrix'!$T$254)</f>
        <v>116642.51850451375</v>
      </c>
      <c r="E29" s="44">
        <f>D29*Inflation!$D$3</f>
        <v>125763.21301104489</v>
      </c>
      <c r="F29" s="6">
        <f>(($B29*'Equipment Results Matrix'!$R$245)+('Equipment Results Matrix'!$R$246*F$6)+'Equipment Results Matrix'!$R$248+'Equipment Results Matrix'!$R$250+'Equipment Results Matrix'!$T$252)*(1+'Equipment Results Matrix'!$T$254)</f>
        <v>122998.87563324999</v>
      </c>
      <c r="G29" s="6">
        <f>(($B29*'Equipment Results Matrix'!$R$245)+('Equipment Results Matrix'!$R$246*G$6)+'Equipment Results Matrix'!$R$248+'Equipment Results Matrix'!$R$250+'Equipment Results Matrix'!$T$252)*(1+'Equipment Results Matrix'!$T$254)</f>
        <v>128653.04437324998</v>
      </c>
      <c r="H29" s="6">
        <f>(($B29*'Equipment Results Matrix'!$R$245)+('Equipment Results Matrix'!$R$246*H$6)+'Equipment Results Matrix'!$R$248+'Equipment Results Matrix'!$R$250+'Equipment Results Matrix'!$T$252)*(1+'Equipment Results Matrix'!$T$254)</f>
        <v>132893.67092825001</v>
      </c>
      <c r="I29" s="6">
        <f>(($B29*'Equipment Results Matrix'!$R$245)+('Equipment Results Matrix'!$R$246*I$6)+'Equipment Results Matrix'!$R$248+'Equipment Results Matrix'!$R$250+'Equipment Results Matrix'!$T$252)*(1+'Equipment Results Matrix'!$T$254)</f>
        <v>135720.75529824998</v>
      </c>
      <c r="J29" s="43">
        <f>F29*Inflation!$D$3</f>
        <v>132616.59637248694</v>
      </c>
      <c r="K29" s="43">
        <f>G29*Inflation!$D$3</f>
        <v>138712.88473084825</v>
      </c>
      <c r="L29" s="43">
        <f>H29*Inflation!$D$3</f>
        <v>143285.10099961926</v>
      </c>
      <c r="M29" s="43">
        <f>I29*Inflation!$D$3</f>
        <v>146333.24517879987</v>
      </c>
      <c r="N29" s="332">
        <f>$AF$8</f>
        <v>167.06657966902253</v>
      </c>
      <c r="O29" s="333">
        <v>0.05</v>
      </c>
      <c r="P29" s="1477">
        <v>23</v>
      </c>
      <c r="Q29" s="341">
        <f t="shared" si="14"/>
        <v>7.666666666666667</v>
      </c>
      <c r="R29" s="334">
        <f>((1+$O29)^Q29-1)/($O29*(1+$O29)^Q29)</f>
        <v>6.2412587657030576</v>
      </c>
      <c r="S29" s="36">
        <f>((1+$O29)^P29-1)/($O29*(1+$O29)^P29)</f>
        <v>13.488573884064344</v>
      </c>
      <c r="T29" s="36">
        <f>R29/S29</f>
        <v>0.4627070896706581</v>
      </c>
      <c r="U29" s="334">
        <f>(E29+N29)*T29</f>
        <v>58268.833170831509</v>
      </c>
      <c r="V29" s="335">
        <f t="shared" si="16"/>
        <v>325.61108266136779</v>
      </c>
      <c r="W29" s="335">
        <f>($U29+(K29-$E29))/$B29</f>
        <v>356.09252445317435</v>
      </c>
      <c r="X29" s="335">
        <f t="shared" si="12"/>
        <v>378.95360579702935</v>
      </c>
      <c r="Y29" s="335">
        <f t="shared" si="13"/>
        <v>394.19432669293246</v>
      </c>
    </row>
    <row r="30" spans="1:33" ht="15.6">
      <c r="A30" s="2182"/>
      <c r="B30" s="47">
        <v>300</v>
      </c>
      <c r="C30" s="50">
        <v>1.25496758</v>
      </c>
      <c r="D30" s="6">
        <f>((B30*'Equipment Results Matrix'!$R$245)+('Equipment Results Matrix'!$R$246*C30)+'Equipment Results Matrix'!$R$248+'Equipment Results Matrix'!$R$250+'Equipment Results Matrix'!$T$252)*(1+'Equipment Results Matrix'!$T$254)</f>
        <v>179753.59350451373</v>
      </c>
      <c r="E30" s="44">
        <f>D30*Inflation!$D$3</f>
        <v>193809.16803964696</v>
      </c>
      <c r="F30" s="6">
        <f>(($B30*'Equipment Results Matrix'!$R$245)+('Equipment Results Matrix'!$R$246*F$6)+'Equipment Results Matrix'!$R$248+'Equipment Results Matrix'!$R$250+'Equipment Results Matrix'!$T$252)*(1+'Equipment Results Matrix'!$T$254)</f>
        <v>186109.95063324997</v>
      </c>
      <c r="G30" s="6">
        <f>(($B30*'Equipment Results Matrix'!$R$245)+('Equipment Results Matrix'!$R$246*G$6)+'Equipment Results Matrix'!$R$248+'Equipment Results Matrix'!$R$250+'Equipment Results Matrix'!$T$252)*(1+'Equipment Results Matrix'!$T$254)</f>
        <v>191764.11937324997</v>
      </c>
      <c r="H30" s="6">
        <f>(($B30*'Equipment Results Matrix'!$R$245)+('Equipment Results Matrix'!$R$246*H$6)+'Equipment Results Matrix'!$R$248+'Equipment Results Matrix'!$R$250+'Equipment Results Matrix'!$T$252)*(1+'Equipment Results Matrix'!$T$254)</f>
        <v>196004.74592824996</v>
      </c>
      <c r="I30" s="6">
        <f>(($B30*'Equipment Results Matrix'!$R$245)+('Equipment Results Matrix'!$R$246*I$6)+'Equipment Results Matrix'!$R$248+'Equipment Results Matrix'!$R$250+'Equipment Results Matrix'!$T$252)*(1+'Equipment Results Matrix'!$T$254)</f>
        <v>198831.83029824996</v>
      </c>
      <c r="J30" s="43">
        <f>F30*Inflation!$D$3</f>
        <v>200662.551401089</v>
      </c>
      <c r="K30" s="43">
        <f>G30*Inflation!$D$3</f>
        <v>206758.83975945032</v>
      </c>
      <c r="L30" s="43">
        <f>H30*Inflation!$D$3</f>
        <v>211331.0560282213</v>
      </c>
      <c r="M30" s="43">
        <f>I30*Inflation!$D$3</f>
        <v>214379.20020740194</v>
      </c>
      <c r="N30" s="332">
        <f>$AF$9</f>
        <v>158.70888186125757</v>
      </c>
      <c r="O30" s="333">
        <v>0.05</v>
      </c>
      <c r="P30" s="1477">
        <v>23</v>
      </c>
      <c r="Q30" s="341">
        <f t="shared" si="14"/>
        <v>7.666666666666667</v>
      </c>
      <c r="R30" s="334">
        <f>((1+$O30)^Q30-1)/($O30*(1+$O30)^Q30)</f>
        <v>6.2412587657030576</v>
      </c>
      <c r="S30" s="36">
        <f>((1+$O30)^P30-1)/($O30*(1+$O30)^P30)</f>
        <v>13.488573884064344</v>
      </c>
      <c r="T30" s="36">
        <f>R30/S30</f>
        <v>0.4627070896706581</v>
      </c>
      <c r="U30" s="334">
        <f t="shared" si="15"/>
        <v>89750.311819947485</v>
      </c>
      <c r="V30" s="335">
        <f t="shared" si="16"/>
        <v>322.0123172712984</v>
      </c>
      <c r="W30" s="335">
        <f t="shared" si="11"/>
        <v>342.33327846583614</v>
      </c>
      <c r="X30" s="335">
        <f t="shared" si="12"/>
        <v>357.57399936173942</v>
      </c>
      <c r="Y30" s="335">
        <f t="shared" si="13"/>
        <v>367.73447995900824</v>
      </c>
    </row>
    <row r="31" spans="1:33" ht="15.6">
      <c r="A31" s="2182"/>
      <c r="B31" s="47">
        <v>400</v>
      </c>
      <c r="C31" s="50">
        <v>1.25496758</v>
      </c>
      <c r="D31" s="6">
        <f>((B31*'Equipment Results Matrix'!$R$245)+('Equipment Results Matrix'!$R$246*C31)+'Equipment Results Matrix'!$R$248+'Equipment Results Matrix'!$R$250+'Equipment Results Matrix'!$T$252)*(1+'Equipment Results Matrix'!$T$254)</f>
        <v>242864.66850451374</v>
      </c>
      <c r="E31" s="44">
        <f>D31*Inflation!$D$3</f>
        <v>261855.12306824909</v>
      </c>
      <c r="F31" s="6">
        <f>(($B31*'Equipment Results Matrix'!$R$245)+('Equipment Results Matrix'!$R$246*F$6)+'Equipment Results Matrix'!$R$248+'Equipment Results Matrix'!$R$250+'Equipment Results Matrix'!$T$252)*(1+'Equipment Results Matrix'!$T$254)</f>
        <v>249221.02563324998</v>
      </c>
      <c r="G31" s="6">
        <f>(($B31*'Equipment Results Matrix'!$R$245)+('Equipment Results Matrix'!$R$246*G$6)+'Equipment Results Matrix'!$R$248+'Equipment Results Matrix'!$R$250+'Equipment Results Matrix'!$T$252)*(1+'Equipment Results Matrix'!$T$254)</f>
        <v>254875.19437324998</v>
      </c>
      <c r="H31" s="6">
        <f>(($B31*'Equipment Results Matrix'!$R$245)+('Equipment Results Matrix'!$R$246*H$6)+'Equipment Results Matrix'!$R$248+'Equipment Results Matrix'!$R$250+'Equipment Results Matrix'!$T$252)*(1+'Equipment Results Matrix'!$T$254)</f>
        <v>259115.82092825</v>
      </c>
      <c r="I31" s="6">
        <f>(($B31*'Equipment Results Matrix'!$R$245)+('Equipment Results Matrix'!$R$246*I$6)+'Equipment Results Matrix'!$R$248+'Equipment Results Matrix'!$R$250+'Equipment Results Matrix'!$T$252)*(1+'Equipment Results Matrix'!$T$254)</f>
        <v>261942.90529824997</v>
      </c>
      <c r="J31" s="43">
        <f>F31*Inflation!$D$3</f>
        <v>268708.5064296911</v>
      </c>
      <c r="K31" s="43">
        <f>G31*Inflation!$D$3</f>
        <v>274804.79478805244</v>
      </c>
      <c r="L31" s="43">
        <f>H31*Inflation!$D$3</f>
        <v>279377.01105682342</v>
      </c>
      <c r="M31" s="43">
        <f>I31*Inflation!$D$3</f>
        <v>282425.15523600404</v>
      </c>
      <c r="N31" s="332">
        <f>$AF$9</f>
        <v>158.70888186125757</v>
      </c>
      <c r="O31" s="333">
        <v>0.05</v>
      </c>
      <c r="P31" s="1477">
        <v>23</v>
      </c>
      <c r="Q31" s="341">
        <f t="shared" si="14"/>
        <v>7.666666666666667</v>
      </c>
      <c r="R31" s="334">
        <f>((1+$O31)^Q31-1)/($O31*(1+$O31)^Q31)</f>
        <v>6.2412587657030576</v>
      </c>
      <c r="S31" s="36">
        <f>((1+$O31)^P31-1)/($O31*(1+$O31)^P31)</f>
        <v>13.488573884064344</v>
      </c>
      <c r="T31" s="36">
        <f>R31/S31</f>
        <v>0.4627070896706581</v>
      </c>
      <c r="U31" s="334">
        <f t="shared" si="15"/>
        <v>121235.65763509246</v>
      </c>
      <c r="V31" s="335">
        <f t="shared" si="16"/>
        <v>320.2226024913362</v>
      </c>
      <c r="W31" s="335">
        <f t="shared" si="11"/>
        <v>335.46332338723948</v>
      </c>
      <c r="X31" s="335">
        <f t="shared" si="12"/>
        <v>346.89386405916696</v>
      </c>
      <c r="Y31" s="335">
        <f t="shared" si="13"/>
        <v>354.51422450711851</v>
      </c>
    </row>
    <row r="32" spans="1:33" ht="18">
      <c r="A32" s="2182"/>
      <c r="B32" s="2240" t="s">
        <v>160</v>
      </c>
      <c r="C32" s="2240"/>
      <c r="D32" s="2240"/>
      <c r="E32" s="2240"/>
      <c r="F32" s="2240"/>
      <c r="G32" s="2240"/>
      <c r="H32" s="2240"/>
      <c r="I32" s="2240"/>
      <c r="J32" s="2240"/>
      <c r="K32" s="2240"/>
      <c r="L32" s="2240"/>
      <c r="M32" s="2240"/>
      <c r="N32" s="2240"/>
      <c r="O32" s="2240"/>
      <c r="P32" s="2240"/>
      <c r="Q32" s="2240"/>
      <c r="R32" s="2240"/>
      <c r="S32" s="2240"/>
      <c r="T32" s="2240"/>
      <c r="U32" s="2240"/>
      <c r="V32" s="2240"/>
      <c r="W32" s="2240"/>
      <c r="X32" s="2240"/>
      <c r="Y32" s="2240"/>
    </row>
    <row r="33" spans="1:25" ht="15" customHeight="1">
      <c r="A33" s="2182"/>
      <c r="B33" s="2160" t="s">
        <v>31</v>
      </c>
      <c r="C33" s="2160" t="s">
        <v>37</v>
      </c>
      <c r="D33" s="2160" t="s">
        <v>44</v>
      </c>
      <c r="E33" s="2160" t="s">
        <v>113</v>
      </c>
      <c r="F33" s="2160" t="s">
        <v>235</v>
      </c>
      <c r="G33" s="2160"/>
      <c r="H33" s="2160"/>
      <c r="I33" s="2160"/>
      <c r="J33" s="2160" t="s">
        <v>236</v>
      </c>
      <c r="K33" s="2160"/>
      <c r="L33" s="2160"/>
      <c r="M33" s="2160"/>
      <c r="N33" s="2208" t="s">
        <v>733</v>
      </c>
      <c r="O33" s="2207" t="s">
        <v>621</v>
      </c>
      <c r="P33" s="2207" t="s">
        <v>622</v>
      </c>
      <c r="Q33" s="2207" t="s">
        <v>261</v>
      </c>
      <c r="R33" s="2210" t="s">
        <v>623</v>
      </c>
      <c r="S33" s="2210" t="s">
        <v>624</v>
      </c>
      <c r="T33" s="2210" t="s">
        <v>629</v>
      </c>
      <c r="U33" s="2214" t="s">
        <v>625</v>
      </c>
      <c r="V33" s="2214" t="s">
        <v>1799</v>
      </c>
      <c r="W33" s="2214"/>
      <c r="X33" s="2214"/>
      <c r="Y33" s="2214"/>
    </row>
    <row r="34" spans="1:25" ht="15" customHeight="1">
      <c r="A34" s="2182"/>
      <c r="B34" s="2160"/>
      <c r="C34" s="2160"/>
      <c r="D34" s="2160"/>
      <c r="E34" s="2160"/>
      <c r="F34" s="2160" t="s">
        <v>229</v>
      </c>
      <c r="G34" s="2160"/>
      <c r="H34" s="2160"/>
      <c r="I34" s="2160"/>
      <c r="J34" s="2160" t="s">
        <v>229</v>
      </c>
      <c r="K34" s="2160"/>
      <c r="L34" s="2160"/>
      <c r="M34" s="2160"/>
      <c r="N34" s="2208"/>
      <c r="O34" s="2207"/>
      <c r="P34" s="2207"/>
      <c r="Q34" s="2207"/>
      <c r="R34" s="2210"/>
      <c r="S34" s="2210"/>
      <c r="T34" s="2210"/>
      <c r="U34" s="2214"/>
      <c r="V34" s="2211" t="s">
        <v>229</v>
      </c>
      <c r="W34" s="2211"/>
      <c r="X34" s="2211"/>
      <c r="Y34" s="2211"/>
    </row>
    <row r="35" spans="1:25" ht="15.75" customHeight="1">
      <c r="A35" s="2182"/>
      <c r="B35" s="2160"/>
      <c r="C35" s="2160"/>
      <c r="D35" s="2160"/>
      <c r="E35" s="2160"/>
      <c r="F35" s="1480">
        <v>1.21</v>
      </c>
      <c r="G35" s="1480">
        <v>1.17</v>
      </c>
      <c r="H35" s="1480">
        <v>1.1399999999999999</v>
      </c>
      <c r="I35" s="1498">
        <v>1.1200000000000001</v>
      </c>
      <c r="J35" s="1480">
        <v>1.21</v>
      </c>
      <c r="K35" s="1480">
        <v>1.17</v>
      </c>
      <c r="L35" s="1480">
        <v>1.1399999999999999</v>
      </c>
      <c r="M35" s="1498">
        <v>1.1200000000000001</v>
      </c>
      <c r="N35" s="2208"/>
      <c r="O35" s="2207"/>
      <c r="P35" s="2207"/>
      <c r="Q35" s="2207"/>
      <c r="R35" s="2210"/>
      <c r="S35" s="2210"/>
      <c r="T35" s="2210"/>
      <c r="U35" s="2214"/>
      <c r="V35" s="1499">
        <v>1.21</v>
      </c>
      <c r="W35" s="1499">
        <v>1.17</v>
      </c>
      <c r="X35" s="1499">
        <v>1.1399999999999999</v>
      </c>
      <c r="Y35" s="1500">
        <v>1.1200000000000001</v>
      </c>
    </row>
    <row r="36" spans="1:25" ht="15.6">
      <c r="A36" s="2182"/>
      <c r="B36" s="8">
        <v>100</v>
      </c>
      <c r="C36" s="50">
        <v>1.1879999999999999</v>
      </c>
      <c r="D36" s="6">
        <f>((B36*'Equipment Results Matrix'!$R$245)+('Equipment Results Matrix'!$R$246*C36)+'Equipment Results Matrix'!$R$247+'Equipment Results Matrix'!$R$250+'Equipment Results Matrix'!$T$252)*(1+'Equipment Results Matrix'!$T$254)</f>
        <v>60350.093565250005</v>
      </c>
      <c r="E36" s="44">
        <f>D36*Inflation!$D$3</f>
        <v>65069.082608922923</v>
      </c>
      <c r="F36" s="8" t="s">
        <v>35</v>
      </c>
      <c r="G36" s="6">
        <f>(($B36*'Equipment Results Matrix'!$R$245)+('Equipment Results Matrix'!$R$246*G$6)+'Equipment Results Matrix'!$R$248+'Equipment Results Matrix'!$R$250+'Equipment Results Matrix'!$T$252)*(1+'Equipment Results Matrix'!$T$254)</f>
        <v>65541.969373249973</v>
      </c>
      <c r="H36" s="6">
        <f>(($B36*'Equipment Results Matrix'!$R$245)+('Equipment Results Matrix'!$R$246*H$6)+'Equipment Results Matrix'!$R$248+'Equipment Results Matrix'!$R$250+'Equipment Results Matrix'!$T$252)*(1+'Equipment Results Matrix'!$T$254)</f>
        <v>69782.595928249997</v>
      </c>
      <c r="I36" s="6">
        <f>(($B36*'Equipment Results Matrix'!$R$245)+('Equipment Results Matrix'!$R$246*I$6)+'Equipment Results Matrix'!$R$248+'Equipment Results Matrix'!$R$250+'Equipment Results Matrix'!$T$252)*(1+'Equipment Results Matrix'!$T$254)</f>
        <v>72609.680298249965</v>
      </c>
      <c r="J36" s="42" t="s">
        <v>35</v>
      </c>
      <c r="K36" s="43">
        <f>G36*Inflation!$D$3</f>
        <v>70666.92970224614</v>
      </c>
      <c r="L36" s="43">
        <f>H36*Inflation!$D$3</f>
        <v>75239.145971017148</v>
      </c>
      <c r="M36" s="43">
        <f>I36*Inflation!$D$3</f>
        <v>78287.290150197761</v>
      </c>
      <c r="N36" s="332">
        <f>$AF$7</f>
        <v>229.89816476862316</v>
      </c>
      <c r="O36" s="333">
        <v>0.05</v>
      </c>
      <c r="P36" s="1477">
        <v>23</v>
      </c>
      <c r="Q36" s="341">
        <f>P36/3</f>
        <v>7.666666666666667</v>
      </c>
      <c r="R36" s="334">
        <f>((1+$O36)^Q36-1)/($O36*(1+$O36)^Q36)</f>
        <v>6.2412587657030576</v>
      </c>
      <c r="S36" s="36">
        <f>((1+$O36)^P36-1)/($O36*(1+$O36)^P36)</f>
        <v>13.488573884064344</v>
      </c>
      <c r="T36" s="36">
        <f>R36/S36</f>
        <v>0.4627070896706581</v>
      </c>
      <c r="U36" s="334">
        <f t="shared" ref="U36:U40" si="17">(E36+N36)*T36</f>
        <v>30214.301352255072</v>
      </c>
      <c r="V36" s="335" t="s">
        <v>22</v>
      </c>
      <c r="W36" s="335">
        <f>($U36+(K36-$E36))/$B36</f>
        <v>358.12148445578293</v>
      </c>
      <c r="X36" s="335">
        <f t="shared" ref="X36:X40" si="18">($U36+(L36-$E36))/$B36</f>
        <v>403.843647143493</v>
      </c>
      <c r="Y36" s="335">
        <f t="shared" ref="Y36:Y40" si="19">($U36+(M36-$E36))/$B36</f>
        <v>434.32508893529916</v>
      </c>
    </row>
    <row r="37" spans="1:25" ht="15.6">
      <c r="A37" s="2182"/>
      <c r="B37" s="8">
        <v>150</v>
      </c>
      <c r="C37" s="50">
        <v>1.1879999999999999</v>
      </c>
      <c r="D37" s="6">
        <f>((B37*'Equipment Results Matrix'!$R$245)+('Equipment Results Matrix'!$R$246*C37)+'Equipment Results Matrix'!$R$247+'Equipment Results Matrix'!$R$250+'Equipment Results Matrix'!$T$252)*(1+'Equipment Results Matrix'!$T$254)</f>
        <v>91905.631065249996</v>
      </c>
      <c r="E37" s="44">
        <f>D37*Inflation!$D$3</f>
        <v>99092.060123223957</v>
      </c>
      <c r="F37" s="8" t="s">
        <v>35</v>
      </c>
      <c r="G37" s="6">
        <f>(($B37*'Equipment Results Matrix'!$R$245)+('Equipment Results Matrix'!$R$246*G$6)+'Equipment Results Matrix'!$R$248+'Equipment Results Matrix'!$R$250+'Equipment Results Matrix'!$T$252)*(1+'Equipment Results Matrix'!$T$254)</f>
        <v>97097.506873249979</v>
      </c>
      <c r="H37" s="6">
        <f>(($B37*'Equipment Results Matrix'!$R$245)+('Equipment Results Matrix'!$R$246*H$6)+'Equipment Results Matrix'!$R$248+'Equipment Results Matrix'!$R$250+'Equipment Results Matrix'!$T$252)*(1+'Equipment Results Matrix'!$T$254)</f>
        <v>101338.13342825</v>
      </c>
      <c r="I37" s="6">
        <f>(($B37*'Equipment Results Matrix'!$R$245)+('Equipment Results Matrix'!$R$246*I$6)+'Equipment Results Matrix'!$R$248+'Equipment Results Matrix'!$R$250+'Equipment Results Matrix'!$T$252)*(1+'Equipment Results Matrix'!$T$254)</f>
        <v>104165.21779824997</v>
      </c>
      <c r="J37" s="42" t="s">
        <v>35</v>
      </c>
      <c r="K37" s="43">
        <f>G37*Inflation!$D$3</f>
        <v>104689.90721654719</v>
      </c>
      <c r="L37" s="43">
        <f>H37*Inflation!$D$3</f>
        <v>109262.1234853182</v>
      </c>
      <c r="M37" s="43">
        <f>I37*Inflation!$D$3</f>
        <v>112310.26766449882</v>
      </c>
      <c r="N37" s="332">
        <f>$AF$8</f>
        <v>167.06657966902253</v>
      </c>
      <c r="O37" s="333">
        <v>0.05</v>
      </c>
      <c r="P37" s="1477">
        <v>23</v>
      </c>
      <c r="Q37" s="341">
        <f t="shared" ref="Q37:Q40" si="20">P37/3</f>
        <v>7.666666666666667</v>
      </c>
      <c r="R37" s="334">
        <f>((1+$O37)^Q37-1)/($O37*(1+$O37)^Q37)</f>
        <v>6.2412587657030576</v>
      </c>
      <c r="S37" s="36">
        <f>((1+$O37)^P37-1)/($O37*(1+$O37)^P37)</f>
        <v>13.488573884064344</v>
      </c>
      <c r="T37" s="36">
        <f>R37/S37</f>
        <v>0.4627070896706581</v>
      </c>
      <c r="U37" s="334">
        <f t="shared" si="17"/>
        <v>45927.901639946715</v>
      </c>
      <c r="V37" s="335" t="s">
        <v>22</v>
      </c>
      <c r="W37" s="335">
        <f t="shared" ref="W37:W40" si="21">($U37+(K37-$E37))/$B37</f>
        <v>343.50499155513296</v>
      </c>
      <c r="X37" s="335">
        <f t="shared" si="18"/>
        <v>373.98643334693969</v>
      </c>
      <c r="Y37" s="335">
        <f t="shared" si="19"/>
        <v>394.30739454147721</v>
      </c>
    </row>
    <row r="38" spans="1:25" ht="15.6">
      <c r="A38" s="2182"/>
      <c r="B38" s="8">
        <v>200</v>
      </c>
      <c r="C38" s="50">
        <v>1.1879999999999999</v>
      </c>
      <c r="D38" s="6">
        <f>((B38*'Equipment Results Matrix'!$R$245)+('Equipment Results Matrix'!$R$246*C38)+'Equipment Results Matrix'!$R$247+'Equipment Results Matrix'!$R$250+'Equipment Results Matrix'!$T$252)*(1+'Equipment Results Matrix'!$T$254)</f>
        <v>123461.16856525</v>
      </c>
      <c r="E38" s="44">
        <f>D38*Inflation!$D$3</f>
        <v>133115.03763752501</v>
      </c>
      <c r="F38" s="8" t="s">
        <v>35</v>
      </c>
      <c r="G38" s="6">
        <f>(($B38*'Equipment Results Matrix'!$R$245)+('Equipment Results Matrix'!$R$246*G$6)+'Equipment Results Matrix'!$R$248+'Equipment Results Matrix'!$R$250+'Equipment Results Matrix'!$T$252)*(1+'Equipment Results Matrix'!$T$254)</f>
        <v>128653.04437324998</v>
      </c>
      <c r="H38" s="6">
        <f>(($B38*'Equipment Results Matrix'!$R$245)+('Equipment Results Matrix'!$R$246*H$6)+'Equipment Results Matrix'!$R$248+'Equipment Results Matrix'!$R$250+'Equipment Results Matrix'!$T$252)*(1+'Equipment Results Matrix'!$T$254)</f>
        <v>132893.67092825001</v>
      </c>
      <c r="I38" s="6">
        <f>(($B38*'Equipment Results Matrix'!$R$245)+('Equipment Results Matrix'!$R$246*I$6)+'Equipment Results Matrix'!$R$248+'Equipment Results Matrix'!$R$250+'Equipment Results Matrix'!$T$252)*(1+'Equipment Results Matrix'!$T$254)</f>
        <v>135720.75529824998</v>
      </c>
      <c r="J38" s="42" t="s">
        <v>35</v>
      </c>
      <c r="K38" s="43">
        <f>G38*Inflation!$D$3</f>
        <v>138712.88473084825</v>
      </c>
      <c r="L38" s="43">
        <f>H38*Inflation!$D$3</f>
        <v>143285.10099961926</v>
      </c>
      <c r="M38" s="43">
        <f>I38*Inflation!$D$3</f>
        <v>146333.24517879987</v>
      </c>
      <c r="N38" s="332">
        <f>$AF$8</f>
        <v>167.06657966902253</v>
      </c>
      <c r="O38" s="333">
        <v>0.05</v>
      </c>
      <c r="P38" s="1477">
        <v>23</v>
      </c>
      <c r="Q38" s="341">
        <f t="shared" si="20"/>
        <v>7.666666666666667</v>
      </c>
      <c r="R38" s="334">
        <f>((1+$O38)^Q38-1)/($O38*(1+$O38)^Q38)</f>
        <v>6.2412587657030576</v>
      </c>
      <c r="S38" s="36">
        <f>((1+$O38)^P38-1)/($O38*(1+$O38)^P38)</f>
        <v>13.488573884064344</v>
      </c>
      <c r="T38" s="36">
        <f>R38/S38</f>
        <v>0.4627070896706581</v>
      </c>
      <c r="U38" s="334">
        <f t="shared" si="17"/>
        <v>61670.574547519194</v>
      </c>
      <c r="V38" s="335" t="s">
        <v>22</v>
      </c>
      <c r="W38" s="335">
        <f t="shared" si="21"/>
        <v>336.3421082042122</v>
      </c>
      <c r="X38" s="335">
        <f t="shared" si="18"/>
        <v>359.20318954806726</v>
      </c>
      <c r="Y38" s="335">
        <f t="shared" si="19"/>
        <v>374.44391044397031</v>
      </c>
    </row>
    <row r="39" spans="1:25" ht="15.6">
      <c r="A39" s="2182"/>
      <c r="B39" s="47">
        <v>300</v>
      </c>
      <c r="C39" s="50">
        <v>1.1879999999999999</v>
      </c>
      <c r="D39" s="6">
        <f>((B39*'Equipment Results Matrix'!$R$245)+('Equipment Results Matrix'!$R$246*C39)+'Equipment Results Matrix'!$R$247+'Equipment Results Matrix'!$R$250+'Equipment Results Matrix'!$T$252)*(1+'Equipment Results Matrix'!$T$254)</f>
        <v>186572.24356524998</v>
      </c>
      <c r="E39" s="44">
        <f>D39*Inflation!$D$3</f>
        <v>201160.9926661271</v>
      </c>
      <c r="F39" s="8" t="s">
        <v>35</v>
      </c>
      <c r="G39" s="6">
        <f>(($B39*'Equipment Results Matrix'!$R$245)+('Equipment Results Matrix'!$R$246*G$6)+'Equipment Results Matrix'!$R$248+'Equipment Results Matrix'!$R$250+'Equipment Results Matrix'!$T$252)*(1+'Equipment Results Matrix'!$T$254)</f>
        <v>191764.11937324997</v>
      </c>
      <c r="H39" s="6">
        <f>(($B39*'Equipment Results Matrix'!$R$245)+('Equipment Results Matrix'!$R$246*H$6)+'Equipment Results Matrix'!$R$248+'Equipment Results Matrix'!$R$250+'Equipment Results Matrix'!$T$252)*(1+'Equipment Results Matrix'!$T$254)</f>
        <v>196004.74592824996</v>
      </c>
      <c r="I39" s="6">
        <f>(($B39*'Equipment Results Matrix'!$R$245)+('Equipment Results Matrix'!$R$246*I$6)+'Equipment Results Matrix'!$R$248+'Equipment Results Matrix'!$R$250+'Equipment Results Matrix'!$T$252)*(1+'Equipment Results Matrix'!$T$254)</f>
        <v>198831.83029824996</v>
      </c>
      <c r="J39" s="42" t="s">
        <v>35</v>
      </c>
      <c r="K39" s="43">
        <f>G39*Inflation!$D$3</f>
        <v>206758.83975945032</v>
      </c>
      <c r="L39" s="43">
        <f>H39*Inflation!$D$3</f>
        <v>211331.0560282213</v>
      </c>
      <c r="M39" s="43">
        <f>I39*Inflation!$D$3</f>
        <v>214379.20020740194</v>
      </c>
      <c r="N39" s="332">
        <f>$AF$9</f>
        <v>158.70888186125757</v>
      </c>
      <c r="O39" s="333">
        <v>0.05</v>
      </c>
      <c r="P39" s="1477">
        <v>23</v>
      </c>
      <c r="Q39" s="341">
        <f t="shared" si="20"/>
        <v>7.666666666666667</v>
      </c>
      <c r="R39" s="334">
        <f>((1+$O39)^Q39-1)/($O39*(1+$O39)^Q39)</f>
        <v>6.2412587657030576</v>
      </c>
      <c r="S39" s="36">
        <f>((1+$O39)^P39-1)/($O39*(1+$O39)^P39)</f>
        <v>13.488573884064344</v>
      </c>
      <c r="T39" s="36">
        <f>R39/S39</f>
        <v>0.4627070896706581</v>
      </c>
      <c r="U39" s="334">
        <f t="shared" si="17"/>
        <v>93152.053196635185</v>
      </c>
      <c r="V39" s="335" t="s">
        <v>22</v>
      </c>
      <c r="W39" s="335">
        <f t="shared" si="21"/>
        <v>329.16633429986132</v>
      </c>
      <c r="X39" s="335">
        <f t="shared" si="18"/>
        <v>344.4070551957646</v>
      </c>
      <c r="Y39" s="335">
        <f t="shared" si="19"/>
        <v>354.56753579303341</v>
      </c>
    </row>
    <row r="40" spans="1:25" ht="15.6">
      <c r="A40" s="2182"/>
      <c r="B40" s="47">
        <v>400</v>
      </c>
      <c r="C40" s="50">
        <v>1.1879999999999999</v>
      </c>
      <c r="D40" s="6">
        <f>((B40*'Equipment Results Matrix'!$R$245)+('Equipment Results Matrix'!$R$246*C40)+'Equipment Results Matrix'!$R$247+'Equipment Results Matrix'!$R$250+'Equipment Results Matrix'!$T$252)*(1+'Equipment Results Matrix'!$T$254)</f>
        <v>249683.31856525003</v>
      </c>
      <c r="E40" s="44">
        <f>D40*Inflation!$D$3</f>
        <v>269206.94769472926</v>
      </c>
      <c r="F40" s="8" t="s">
        <v>35</v>
      </c>
      <c r="G40" s="6">
        <f>(($B40*'Equipment Results Matrix'!$R$245)+('Equipment Results Matrix'!$R$246*G$6)+'Equipment Results Matrix'!$R$248+'Equipment Results Matrix'!$R$250+'Equipment Results Matrix'!$T$252)*(1+'Equipment Results Matrix'!$T$254)</f>
        <v>254875.19437324998</v>
      </c>
      <c r="H40" s="6">
        <f>(($B40*'Equipment Results Matrix'!$R$245)+('Equipment Results Matrix'!$R$246*H$6)+'Equipment Results Matrix'!$R$248+'Equipment Results Matrix'!$R$250+'Equipment Results Matrix'!$T$252)*(1+'Equipment Results Matrix'!$T$254)</f>
        <v>259115.82092825</v>
      </c>
      <c r="I40" s="6">
        <f>(($B40*'Equipment Results Matrix'!$R$245)+('Equipment Results Matrix'!$R$246*I$6)+'Equipment Results Matrix'!$R$248+'Equipment Results Matrix'!$R$250+'Equipment Results Matrix'!$T$252)*(1+'Equipment Results Matrix'!$T$254)</f>
        <v>261942.90529824997</v>
      </c>
      <c r="J40" s="42" t="s">
        <v>35</v>
      </c>
      <c r="K40" s="43">
        <f>G40*Inflation!$D$3</f>
        <v>274804.79478805244</v>
      </c>
      <c r="L40" s="43">
        <f>H40*Inflation!$D$3</f>
        <v>279377.01105682342</v>
      </c>
      <c r="M40" s="43">
        <f>I40*Inflation!$D$3</f>
        <v>282425.15523600404</v>
      </c>
      <c r="N40" s="332">
        <f>$AF$9</f>
        <v>158.70888186125757</v>
      </c>
      <c r="O40" s="333">
        <v>0.05</v>
      </c>
      <c r="P40" s="1477">
        <v>23</v>
      </c>
      <c r="Q40" s="341">
        <f t="shared" si="20"/>
        <v>7.666666666666667</v>
      </c>
      <c r="R40" s="334">
        <f>((1+$O40)^Q40-1)/($O40*(1+$O40)^Q40)</f>
        <v>6.2412587657030576</v>
      </c>
      <c r="S40" s="36">
        <f>((1+$O40)^P40-1)/($O40*(1+$O40)^P40)</f>
        <v>13.488573884064344</v>
      </c>
      <c r="T40" s="36">
        <f>R40/S40</f>
        <v>0.4627070896706581</v>
      </c>
      <c r="U40" s="334">
        <f t="shared" si="17"/>
        <v>124637.39901178016</v>
      </c>
      <c r="V40" s="335" t="s">
        <v>22</v>
      </c>
      <c r="W40" s="335">
        <f t="shared" si="21"/>
        <v>325.58811526275838</v>
      </c>
      <c r="X40" s="335">
        <f t="shared" si="18"/>
        <v>337.0186559346858</v>
      </c>
      <c r="Y40" s="335">
        <f t="shared" si="19"/>
        <v>344.63901638263735</v>
      </c>
    </row>
    <row r="42" spans="1:25" ht="21">
      <c r="A42" s="184" t="s">
        <v>634</v>
      </c>
    </row>
  </sheetData>
  <mergeCells count="82">
    <mergeCell ref="U33:U35"/>
    <mergeCell ref="V33:Y33"/>
    <mergeCell ref="V34:Y34"/>
    <mergeCell ref="B12:Y12"/>
    <mergeCell ref="N33:N35"/>
    <mergeCell ref="Q33:Q35"/>
    <mergeCell ref="R33:R35"/>
    <mergeCell ref="S33:S35"/>
    <mergeCell ref="T33:T35"/>
    <mergeCell ref="V13:Y13"/>
    <mergeCell ref="V14:Y14"/>
    <mergeCell ref="N24:N26"/>
    <mergeCell ref="Q24:Q26"/>
    <mergeCell ref="R24:R26"/>
    <mergeCell ref="S24:S26"/>
    <mergeCell ref="V24:Y24"/>
    <mergeCell ref="V25:Y25"/>
    <mergeCell ref="Q13:Q15"/>
    <mergeCell ref="R13:R15"/>
    <mergeCell ref="S13:S15"/>
    <mergeCell ref="T13:T15"/>
    <mergeCell ref="U13:U15"/>
    <mergeCell ref="AB2:AF2"/>
    <mergeCell ref="N4:N6"/>
    <mergeCell ref="Q4:Q6"/>
    <mergeCell ref="R4:R6"/>
    <mergeCell ref="S4:S6"/>
    <mergeCell ref="T4:T6"/>
    <mergeCell ref="U4:U6"/>
    <mergeCell ref="V4:Y4"/>
    <mergeCell ref="AB4:AB9"/>
    <mergeCell ref="AC4:AC6"/>
    <mergeCell ref="V5:Y5"/>
    <mergeCell ref="AC7:AC9"/>
    <mergeCell ref="O4:O6"/>
    <mergeCell ref="A3:Y3"/>
    <mergeCell ref="P4:P6"/>
    <mergeCell ref="A4:A20"/>
    <mergeCell ref="N13:N15"/>
    <mergeCell ref="O33:O35"/>
    <mergeCell ref="P33:P35"/>
    <mergeCell ref="O24:O26"/>
    <mergeCell ref="P24:P26"/>
    <mergeCell ref="O13:O15"/>
    <mergeCell ref="P13:P15"/>
    <mergeCell ref="E33:E35"/>
    <mergeCell ref="F33:I33"/>
    <mergeCell ref="E24:E26"/>
    <mergeCell ref="J33:M33"/>
    <mergeCell ref="F34:I34"/>
    <mergeCell ref="J34:M34"/>
    <mergeCell ref="F24:I24"/>
    <mergeCell ref="J24:M24"/>
    <mergeCell ref="F25:I25"/>
    <mergeCell ref="J25:M25"/>
    <mergeCell ref="B32:Y32"/>
    <mergeCell ref="B33:B35"/>
    <mergeCell ref="C33:C35"/>
    <mergeCell ref="D33:D35"/>
    <mergeCell ref="T24:T26"/>
    <mergeCell ref="U24:U26"/>
    <mergeCell ref="B4:B6"/>
    <mergeCell ref="C4:C6"/>
    <mergeCell ref="D4:D6"/>
    <mergeCell ref="A24:A40"/>
    <mergeCell ref="B24:B26"/>
    <mergeCell ref="C24:C26"/>
    <mergeCell ref="D24:D26"/>
    <mergeCell ref="B13:B15"/>
    <mergeCell ref="C13:C15"/>
    <mergeCell ref="D13:D15"/>
    <mergeCell ref="A23:Y23"/>
    <mergeCell ref="E13:E15"/>
    <mergeCell ref="F13:I13"/>
    <mergeCell ref="J14:M14"/>
    <mergeCell ref="F4:I4"/>
    <mergeCell ref="F14:I14"/>
    <mergeCell ref="J13:M13"/>
    <mergeCell ref="E4:E6"/>
    <mergeCell ref="J4:M4"/>
    <mergeCell ref="F5:I5"/>
    <mergeCell ref="J5:M5"/>
  </mergeCells>
  <hyperlinks>
    <hyperlink ref="A42" location="'Master Summary'!A1" display="Return To Master Summary"/>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A2" sqref="A2:B4"/>
    </sheetView>
  </sheetViews>
  <sheetFormatPr defaultColWidth="9.109375" defaultRowHeight="14.4"/>
  <cols>
    <col min="1" max="1" width="37.5546875" style="95" customWidth="1"/>
    <col min="2" max="2" width="18.5546875" style="95" customWidth="1"/>
    <col min="3" max="3" width="23.44140625" style="95" customWidth="1"/>
    <col min="4" max="4" width="19.88671875" style="95" customWidth="1"/>
    <col min="5" max="5" width="9.109375" style="95"/>
    <col min="6" max="6" width="19.33203125" style="95" customWidth="1"/>
    <col min="7" max="7" width="16.5546875" style="95" customWidth="1"/>
    <col min="8" max="8" width="19.6640625" style="95" customWidth="1"/>
    <col min="9" max="9" width="12" style="95" customWidth="1"/>
    <col min="10" max="10" width="22.6640625" style="95" customWidth="1"/>
    <col min="11" max="16384" width="9.109375" style="95"/>
  </cols>
  <sheetData>
    <row r="1" spans="1:10" ht="15" thickBot="1"/>
    <row r="2" spans="1:10" ht="18">
      <c r="A2" s="2166" t="s">
        <v>1919</v>
      </c>
      <c r="B2" s="2167"/>
    </row>
    <row r="3" spans="1:10">
      <c r="A3" s="1125" t="s">
        <v>1826</v>
      </c>
      <c r="B3" s="1669">
        <f>F9</f>
        <v>130.00981554689656</v>
      </c>
    </row>
    <row r="4" spans="1:10" ht="15" thickBot="1">
      <c r="A4" s="1670" t="s">
        <v>1838</v>
      </c>
      <c r="B4" s="1671">
        <f>F18</f>
        <v>180.42482145051812</v>
      </c>
    </row>
    <row r="7" spans="1:10">
      <c r="A7" s="2049" t="s">
        <v>1826</v>
      </c>
      <c r="B7" s="2049"/>
      <c r="C7" s="2049"/>
      <c r="D7" s="2049"/>
      <c r="E7" s="2049"/>
      <c r="F7" s="2049"/>
      <c r="H7" s="2243" t="s">
        <v>1827</v>
      </c>
      <c r="I7" s="2243"/>
      <c r="J7" s="2243"/>
    </row>
    <row r="8" spans="1:10" ht="43.2">
      <c r="A8" s="1550" t="s">
        <v>1406</v>
      </c>
      <c r="B8" s="1550" t="s">
        <v>1828</v>
      </c>
      <c r="C8" s="1550" t="s">
        <v>1829</v>
      </c>
      <c r="D8" s="1550" t="s">
        <v>1830</v>
      </c>
      <c r="E8" s="1550" t="s">
        <v>1831</v>
      </c>
      <c r="F8" s="1550" t="s">
        <v>1832</v>
      </c>
      <c r="H8" s="1551" t="s">
        <v>1833</v>
      </c>
      <c r="I8" s="1552" t="s">
        <v>1834</v>
      </c>
      <c r="J8" s="1553" t="s">
        <v>1835</v>
      </c>
    </row>
    <row r="9" spans="1:10">
      <c r="A9" s="97">
        <v>500</v>
      </c>
      <c r="B9" s="97">
        <v>24</v>
      </c>
      <c r="C9" s="3">
        <f>('Equipment Results Matrix'!$T$399+'Equipment Results Matrix'!$R$392*A9+'Equipment Results Matrix'!$R$393+'Equipment Results Matrix'!$R$395+'Equipment Results Matrix'!$R$397+'Equipment Results Matrix'!R399+'Equipment Results Matrix'!$N$402+'Equipment Results Matrix'!$N$407)*1.25</f>
        <v>109.70968750000003</v>
      </c>
      <c r="D9" s="9">
        <f>C9*[8]Inflation!$D$3</f>
        <v>116.08270777780908</v>
      </c>
      <c r="E9" s="1750">
        <f>AVERAGE(C9:C14)</f>
        <v>122.87218750000004</v>
      </c>
      <c r="F9" s="1750">
        <f>AVERAGE(D9:D14)</f>
        <v>130.00981554689656</v>
      </c>
      <c r="H9" s="837" t="s">
        <v>1836</v>
      </c>
      <c r="I9" s="40" t="s">
        <v>1018</v>
      </c>
      <c r="J9" s="1554">
        <f>F9+J18</f>
        <v>200.20417453741783</v>
      </c>
    </row>
    <row r="10" spans="1:10">
      <c r="A10" s="97">
        <v>1000</v>
      </c>
      <c r="B10" s="97">
        <v>24</v>
      </c>
      <c r="C10" s="3">
        <f>('Equipment Results Matrix'!$T$399+'Equipment Results Matrix'!$R$392*A10+'Equipment Results Matrix'!$R$393+'Equipment Results Matrix'!$R$395+'Equipment Results Matrix'!$R$397+'Equipment Results Matrix'!$R$399+'Equipment Results Matrix'!$N$402+'Equipment Results Matrix'!$N$407)*1.25</f>
        <v>113.45968750000003</v>
      </c>
      <c r="D10" s="9">
        <f>C10*[8]Inflation!$D$3</f>
        <v>120.05054474905907</v>
      </c>
      <c r="E10" s="1750"/>
      <c r="F10" s="1750"/>
      <c r="H10" s="837" t="s">
        <v>1837</v>
      </c>
      <c r="I10" s="40" t="s">
        <v>1018</v>
      </c>
      <c r="J10" s="1554">
        <f>F9+J19</f>
        <v>224.9833637684396</v>
      </c>
    </row>
    <row r="11" spans="1:10">
      <c r="A11" s="97">
        <v>1500</v>
      </c>
      <c r="B11" s="97">
        <v>24</v>
      </c>
      <c r="C11" s="3">
        <f>('Equipment Results Matrix'!$T$399+'Equipment Results Matrix'!$R$392*A11+'Equipment Results Matrix'!$R$393+'Equipment Results Matrix'!$R$395+'Equipment Results Matrix'!$R$397+'Equipment Results Matrix'!$R$399+'Equipment Results Matrix'!$N$402+'Equipment Results Matrix'!$N$407)*1.25</f>
        <v>117.20968750000003</v>
      </c>
      <c r="D11" s="9">
        <f>C11*[8]Inflation!$D$3</f>
        <v>124.01838172030908</v>
      </c>
      <c r="E11" s="1750"/>
      <c r="F11" s="1750"/>
      <c r="H11" s="837" t="s">
        <v>1836</v>
      </c>
      <c r="I11" s="40" t="s">
        <v>65</v>
      </c>
      <c r="J11" s="1554">
        <f>F18+J18</f>
        <v>250.61918044103936</v>
      </c>
    </row>
    <row r="12" spans="1:10">
      <c r="A12" s="97">
        <v>500</v>
      </c>
      <c r="B12" s="97">
        <v>120</v>
      </c>
      <c r="C12" s="3">
        <f>('Equipment Results Matrix'!$T$399+'Equipment Results Matrix'!$R$392*A12+'Equipment Results Matrix'!$R$393+'Equipment Results Matrix'!$R$395+'Equipment Results Matrix'!$R$397+'Equipment Results Matrix'!$R$399+'Equipment Results Matrix'!$N$402+'Equipment Results Matrix'!$N$409)*1.25</f>
        <v>128.53468750000002</v>
      </c>
      <c r="D12" s="9">
        <f>C12*[8]Inflation!$D$3</f>
        <v>136.00124937348406</v>
      </c>
      <c r="E12" s="1750"/>
      <c r="F12" s="1750"/>
      <c r="H12" s="837" t="s">
        <v>1837</v>
      </c>
      <c r="I12" s="40" t="s">
        <v>65</v>
      </c>
      <c r="J12" s="1554">
        <f>F18+J19</f>
        <v>275.39836967206116</v>
      </c>
    </row>
    <row r="13" spans="1:10">
      <c r="A13" s="97">
        <v>1000</v>
      </c>
      <c r="B13" s="97">
        <v>120</v>
      </c>
      <c r="C13" s="3">
        <f>('Equipment Results Matrix'!$T$399+'Equipment Results Matrix'!$R$392*A13+'Equipment Results Matrix'!$R$393+'Equipment Results Matrix'!$R$395+'Equipment Results Matrix'!$R$397+'Equipment Results Matrix'!$R$399+'Equipment Results Matrix'!$N$402+'Equipment Results Matrix'!$N$409)*1.25</f>
        <v>132.28468750000002</v>
      </c>
      <c r="D13" s="9">
        <f>C13*[8]Inflation!$D$3</f>
        <v>139.96908634473405</v>
      </c>
      <c r="E13" s="1750"/>
      <c r="F13" s="1750"/>
    </row>
    <row r="14" spans="1:10">
      <c r="A14" s="97">
        <v>1500</v>
      </c>
      <c r="B14" s="97">
        <v>120</v>
      </c>
      <c r="C14" s="3">
        <f>('Equipment Results Matrix'!$T$399+'Equipment Results Matrix'!$R$392*A14+'Equipment Results Matrix'!$R$393+'Equipment Results Matrix'!$R$395+'Equipment Results Matrix'!$R$397+'Equipment Results Matrix'!$R$399+'Equipment Results Matrix'!$N$402+'Equipment Results Matrix'!$N$409)*1.25</f>
        <v>136.03468750000002</v>
      </c>
      <c r="D14" s="9">
        <f>C14*[8]Inflation!$D$3</f>
        <v>143.93692331598407</v>
      </c>
      <c r="E14" s="1750"/>
      <c r="F14" s="1750"/>
    </row>
    <row r="15" spans="1:10">
      <c r="C15" s="1555"/>
      <c r="D15" s="1556"/>
    </row>
    <row r="16" spans="1:10">
      <c r="A16" s="2244" t="s">
        <v>1838</v>
      </c>
      <c r="B16" s="2245"/>
      <c r="C16" s="2245"/>
      <c r="D16" s="2245"/>
      <c r="E16" s="2245"/>
      <c r="F16" s="2245"/>
      <c r="H16" s="2246" t="s">
        <v>164</v>
      </c>
      <c r="I16" s="2247"/>
      <c r="J16" s="2248"/>
    </row>
    <row r="17" spans="1:10" ht="28.8">
      <c r="A17" s="1557" t="s">
        <v>1406</v>
      </c>
      <c r="B17" s="1557" t="s">
        <v>1828</v>
      </c>
      <c r="C17" s="1557" t="s">
        <v>1829</v>
      </c>
      <c r="D17" s="1550" t="s">
        <v>1830</v>
      </c>
      <c r="E17" s="1558" t="s">
        <v>1831</v>
      </c>
      <c r="F17" s="1550" t="s">
        <v>1832</v>
      </c>
      <c r="H17" s="1559" t="s">
        <v>1839</v>
      </c>
      <c r="I17" s="1559" t="s">
        <v>164</v>
      </c>
      <c r="J17" s="1559" t="s">
        <v>167</v>
      </c>
    </row>
    <row r="18" spans="1:10">
      <c r="A18" s="97">
        <v>500</v>
      </c>
      <c r="B18" s="97">
        <v>24</v>
      </c>
      <c r="C18" s="3">
        <f>('Equipment Results Matrix'!$T$399+'Equipment Results Matrix'!$R$392*A18+'Equipment Results Matrix'!$R$393+'Equipment Results Matrix'!$R$395+'Equipment Results Matrix'!$R$397+'Equipment Results Matrix'!R408+'Equipment Results Matrix'!$N$401+'Equipment Results Matrix'!$N$407)*1.25</f>
        <v>156.33781250000004</v>
      </c>
      <c r="D18" s="9">
        <f>C18*[8]Inflation!$D$3</f>
        <v>165.41945398449346</v>
      </c>
      <c r="E18" s="1750">
        <f>AVERAGE(C18:C23)</f>
        <v>170.51937500000005</v>
      </c>
      <c r="F18" s="1750">
        <f>AVERAGE(D18:D23)</f>
        <v>180.42482145051812</v>
      </c>
      <c r="H18" s="1560" t="s">
        <v>1840</v>
      </c>
      <c r="I18" s="1561">
        <f>'Labor Adjustment'!$B$10*'Labor Results Matrix'!L277</f>
        <v>66.340640535825472</v>
      </c>
      <c r="J18" s="1562">
        <f>I18*[8]Inflation!$D$3</f>
        <v>70.194358990521252</v>
      </c>
    </row>
    <row r="19" spans="1:10">
      <c r="A19" s="97">
        <v>1000</v>
      </c>
      <c r="B19" s="97">
        <v>24</v>
      </c>
      <c r="C19" s="3">
        <f>('Equipment Results Matrix'!$T$399+'Equipment Results Matrix'!$R$392*A19+'Equipment Results Matrix'!$R$393+'Equipment Results Matrix'!$R$395+'Equipment Results Matrix'!$R$397+'Equipment Results Matrix'!R409+'Equipment Results Matrix'!$N$401+'Equipment Results Matrix'!$N$407)*1.25</f>
        <v>147.23656250000002</v>
      </c>
      <c r="D19" s="9">
        <f>C19*[8]Inflation!$D$3</f>
        <v>155.78951365526967</v>
      </c>
      <c r="E19" s="1750"/>
      <c r="F19" s="1750"/>
      <c r="H19" s="1563" t="s">
        <v>1841</v>
      </c>
      <c r="I19" s="1561">
        <f>'Labor Adjustment'!$B$10*'Labor Results Matrix'!L279</f>
        <v>89.759435282086997</v>
      </c>
      <c r="J19" s="1562">
        <f>I19*[8]Inflation!$D$3</f>
        <v>94.973548221543041</v>
      </c>
    </row>
    <row r="20" spans="1:10">
      <c r="A20" s="97">
        <v>1500</v>
      </c>
      <c r="B20" s="97">
        <v>24</v>
      </c>
      <c r="C20" s="3">
        <f>('Equipment Results Matrix'!$T$399+'Equipment Results Matrix'!$R$392*A20+'Equipment Results Matrix'!$R$393+'Equipment Results Matrix'!$R$395+'Equipment Results Matrix'!$R$397+'Equipment Results Matrix'!R410+'Equipment Results Matrix'!$N$401+'Equipment Results Matrix'!$N$407)*1.25</f>
        <v>163.83781250000004</v>
      </c>
      <c r="D20" s="9">
        <f>C20*[8]Inflation!$D$3</f>
        <v>173.35512792699345</v>
      </c>
      <c r="E20" s="1750"/>
      <c r="F20" s="1750"/>
      <c r="H20" s="40" t="s">
        <v>1842</v>
      </c>
      <c r="I20" s="1561">
        <f>'Labor Adjustment'!$B$10*'Labor Results Matrix'!L281</f>
        <v>65.38266284554075</v>
      </c>
      <c r="J20" s="1562">
        <f>I20*[8]Inflation!$D$3</f>
        <v>69.180732511282741</v>
      </c>
    </row>
    <row r="21" spans="1:10">
      <c r="A21" s="97">
        <v>500</v>
      </c>
      <c r="B21" s="97">
        <v>120</v>
      </c>
      <c r="C21" s="3">
        <f>('Equipment Results Matrix'!$T$399+'Equipment Results Matrix'!$R$392*A21+'Equipment Results Matrix'!$R$393+'Equipment Results Matrix'!$R$395+'Equipment Results Matrix'!$R$397+'Equipment Results Matrix'!$R$399+'Equipment Results Matrix'!$N$401+'Equipment Results Matrix'!$N$409)*1.25</f>
        <v>181.48468750000004</v>
      </c>
      <c r="D21" s="9">
        <f>C21*[8]Inflation!$D$3</f>
        <v>192.02710740753406</v>
      </c>
      <c r="E21" s="1750"/>
      <c r="F21" s="1750"/>
    </row>
    <row r="22" spans="1:10">
      <c r="A22" s="97">
        <v>1000</v>
      </c>
      <c r="B22" s="97">
        <v>120</v>
      </c>
      <c r="C22" s="3">
        <f>('Equipment Results Matrix'!$T$399+'Equipment Results Matrix'!$R$392*A22+'Equipment Results Matrix'!$R$393+'Equipment Results Matrix'!$R$395+'Equipment Results Matrix'!$R$397+'Equipment Results Matrix'!$R$399+'Equipment Results Matrix'!$N$401+'Equipment Results Matrix'!$N$409)*1.25</f>
        <v>185.23468750000004</v>
      </c>
      <c r="D22" s="9">
        <f>C22*[8]Inflation!$D$3</f>
        <v>195.99494437878408</v>
      </c>
      <c r="E22" s="1750"/>
      <c r="F22" s="1750"/>
    </row>
    <row r="23" spans="1:10">
      <c r="A23" s="97">
        <v>1500</v>
      </c>
      <c r="B23" s="97">
        <v>120</v>
      </c>
      <c r="C23" s="3">
        <f>('Equipment Results Matrix'!$T$399+'Equipment Results Matrix'!$R$392*A23+'Equipment Results Matrix'!$R$393+'Equipment Results Matrix'!$R$395+'Equipment Results Matrix'!$R$397+'Equipment Results Matrix'!$R$399+'Equipment Results Matrix'!$N$401+'Equipment Results Matrix'!$N$409)*1.25</f>
        <v>188.98468750000004</v>
      </c>
      <c r="D23" s="9">
        <f>C23*[8]Inflation!$D$3</f>
        <v>199.96278135003408</v>
      </c>
      <c r="E23" s="1750"/>
      <c r="F23" s="1750"/>
    </row>
    <row r="25" spans="1:10">
      <c r="A25" s="4" t="s">
        <v>634</v>
      </c>
    </row>
  </sheetData>
  <mergeCells count="9">
    <mergeCell ref="A2:B2"/>
    <mergeCell ref="E18:E23"/>
    <mergeCell ref="F18:F23"/>
    <mergeCell ref="A7:F7"/>
    <mergeCell ref="H7:J7"/>
    <mergeCell ref="E9:E14"/>
    <mergeCell ref="F9:F14"/>
    <mergeCell ref="A16:F16"/>
    <mergeCell ref="H16:J16"/>
  </mergeCells>
  <hyperlinks>
    <hyperlink ref="A25" location="'Master Summary'!A1" display="Return To Master Summary"/>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A45"/>
  <sheetViews>
    <sheetView topLeftCell="A28" zoomScale="55" zoomScaleNormal="55" workbookViewId="0">
      <selection activeCell="V32" sqref="V32"/>
    </sheetView>
  </sheetViews>
  <sheetFormatPr defaultRowHeight="14.4"/>
  <cols>
    <col min="1" max="1" width="19.44140625" customWidth="1"/>
    <col min="2" max="2" width="26.33203125" customWidth="1"/>
    <col min="3" max="3" width="26.33203125" style="95" customWidth="1"/>
    <col min="4" max="4" width="29.44140625" customWidth="1"/>
    <col min="5" max="5" width="18.6640625" customWidth="1"/>
    <col min="6" max="6" width="24" customWidth="1"/>
    <col min="7" max="7" width="26.88671875" customWidth="1"/>
    <col min="8" max="8" width="14.88671875" customWidth="1"/>
    <col min="9" max="9" width="14.33203125" customWidth="1"/>
    <col min="10" max="10" width="13.6640625" customWidth="1"/>
    <col min="11" max="11" width="11.6640625" customWidth="1"/>
    <col min="12" max="12" width="15.33203125" customWidth="1"/>
    <col min="13" max="13" width="9.109375" customWidth="1"/>
    <col min="17" max="17" width="21.33203125" customWidth="1"/>
    <col min="18" max="18" width="22.5546875" customWidth="1"/>
    <col min="19" max="19" width="19.5546875" customWidth="1"/>
    <col min="20" max="20" width="19.33203125" customWidth="1"/>
    <col min="22" max="22" width="28.109375" customWidth="1"/>
    <col min="23" max="23" width="21.33203125" customWidth="1"/>
    <col min="24" max="24" width="21.88671875" customWidth="1"/>
    <col min="25" max="25" width="21.5546875" customWidth="1"/>
    <col min="26" max="26" width="21.109375" customWidth="1"/>
    <col min="27" max="27" width="26.5546875" customWidth="1"/>
  </cols>
  <sheetData>
    <row r="1" spans="1:4" s="95" customFormat="1" ht="15" thickBot="1"/>
    <row r="2" spans="1:4" s="95" customFormat="1" ht="18">
      <c r="A2" s="1939" t="s">
        <v>1919</v>
      </c>
      <c r="B2" s="1940"/>
      <c r="C2" s="1940"/>
      <c r="D2" s="1941"/>
    </row>
    <row r="3" spans="1:4" s="95" customFormat="1" ht="105.75" customHeight="1">
      <c r="A3" s="2258" t="s">
        <v>1920</v>
      </c>
      <c r="B3" s="2259"/>
      <c r="C3" s="1675" t="s">
        <v>1922</v>
      </c>
      <c r="D3" s="1676" t="s">
        <v>1921</v>
      </c>
    </row>
    <row r="4" spans="1:4" s="95" customFormat="1" ht="16.2">
      <c r="A4" s="2256" t="s">
        <v>12</v>
      </c>
      <c r="B4" s="1629" t="s">
        <v>13</v>
      </c>
      <c r="C4" s="347">
        <f>S20</f>
        <v>244.05975572044986</v>
      </c>
      <c r="D4" s="1672">
        <f>T20</f>
        <v>205.30404733112198</v>
      </c>
    </row>
    <row r="5" spans="1:4" s="95" customFormat="1" ht="16.2">
      <c r="A5" s="2256"/>
      <c r="B5" s="1629" t="s">
        <v>14</v>
      </c>
      <c r="C5" s="347">
        <f t="shared" ref="C5:D5" si="0">S21</f>
        <v>360.72672982771041</v>
      </c>
      <c r="D5" s="1672">
        <f t="shared" si="0"/>
        <v>311.1705089215842</v>
      </c>
    </row>
    <row r="6" spans="1:4" s="95" customFormat="1" ht="16.2">
      <c r="A6" s="2256"/>
      <c r="B6" s="1629" t="s">
        <v>15</v>
      </c>
      <c r="C6" s="347">
        <f t="shared" ref="C6:D6" si="1">S22</f>
        <v>450.92708853735547</v>
      </c>
      <c r="D6" s="1672">
        <f t="shared" si="1"/>
        <v>397.77069679229652</v>
      </c>
    </row>
    <row r="7" spans="1:4" s="95" customFormat="1" ht="16.2">
      <c r="A7" s="2256"/>
      <c r="B7" s="1629" t="s">
        <v>16</v>
      </c>
      <c r="C7" s="347">
        <f t="shared" ref="C7:D7" si="2">S23</f>
        <v>579.0272849239575</v>
      </c>
      <c r="D7" s="1672">
        <f t="shared" si="2"/>
        <v>523.11689317889841</v>
      </c>
    </row>
    <row r="8" spans="1:4" s="95" customFormat="1" ht="16.2">
      <c r="A8" s="2256"/>
      <c r="B8" s="1629" t="s">
        <v>17</v>
      </c>
      <c r="C8" s="347">
        <f t="shared" ref="C8:D8" si="3">S24</f>
        <v>692.08438831884723</v>
      </c>
      <c r="D8" s="1672">
        <f t="shared" si="3"/>
        <v>692.08438831884723</v>
      </c>
    </row>
    <row r="9" spans="1:4" s="95" customFormat="1" ht="16.2">
      <c r="A9" s="2256"/>
      <c r="B9" s="1629" t="s">
        <v>18</v>
      </c>
      <c r="C9" s="347">
        <f t="shared" ref="C9:D9" si="4">S25</f>
        <v>808.96684990930953</v>
      </c>
      <c r="D9" s="1672">
        <f t="shared" si="4"/>
        <v>812.35153326504064</v>
      </c>
    </row>
    <row r="10" spans="1:4" s="95" customFormat="1" ht="16.2">
      <c r="A10" s="2256"/>
      <c r="B10" s="1629" t="s">
        <v>19</v>
      </c>
      <c r="C10" s="347">
        <f t="shared" ref="C10:D10" si="5">S26</f>
        <v>896.11781550068042</v>
      </c>
      <c r="D10" s="1672">
        <f t="shared" si="5"/>
        <v>910.5184988564115</v>
      </c>
    </row>
    <row r="11" spans="1:4" s="95" customFormat="1" ht="16.2">
      <c r="A11" s="2256" t="s">
        <v>20</v>
      </c>
      <c r="B11" s="1629" t="s">
        <v>21</v>
      </c>
      <c r="C11" s="347" t="str">
        <f t="shared" ref="C11:D11" si="6">S27</f>
        <v>NA</v>
      </c>
      <c r="D11" s="1672">
        <f t="shared" si="6"/>
        <v>312.64938952305999</v>
      </c>
    </row>
    <row r="12" spans="1:4" s="95" customFormat="1" ht="16.2">
      <c r="A12" s="2256"/>
      <c r="B12" s="1629" t="s">
        <v>23</v>
      </c>
      <c r="C12" s="347" t="str">
        <f t="shared" ref="C12:D12" si="7">S28</f>
        <v>NA</v>
      </c>
      <c r="D12" s="1672">
        <f t="shared" si="7"/>
        <v>591.71622685494674</v>
      </c>
    </row>
    <row r="13" spans="1:4" s="95" customFormat="1" ht="16.2">
      <c r="A13" s="2256"/>
      <c r="B13" s="1629" t="s">
        <v>24</v>
      </c>
      <c r="C13" s="347">
        <f t="shared" ref="C13:D13" si="8">S29</f>
        <v>333.40424371772394</v>
      </c>
      <c r="D13" s="1672" t="str">
        <f t="shared" si="8"/>
        <v>NA</v>
      </c>
    </row>
    <row r="14" spans="1:4" s="95" customFormat="1" ht="16.8" thickBot="1">
      <c r="A14" s="2257"/>
      <c r="B14" s="1473" t="s">
        <v>25</v>
      </c>
      <c r="C14" s="1673">
        <f t="shared" ref="C14:D14" si="9">S30</f>
        <v>763.65118307128535</v>
      </c>
      <c r="D14" s="1674" t="str">
        <f t="shared" si="9"/>
        <v>NA</v>
      </c>
    </row>
    <row r="15" spans="1:4" s="95" customFormat="1"/>
    <row r="16" spans="1:4" s="95" customFormat="1"/>
    <row r="17" spans="1:27" ht="23.25" customHeight="1">
      <c r="A17" s="2260" t="s">
        <v>742</v>
      </c>
      <c r="B17" s="2260"/>
      <c r="C17" s="2260"/>
      <c r="D17" s="2260"/>
      <c r="E17" s="2260"/>
      <c r="F17" s="2260"/>
      <c r="G17" s="2260"/>
      <c r="H17" s="2261" t="s">
        <v>749</v>
      </c>
      <c r="I17" s="2261"/>
      <c r="J17" s="2261"/>
      <c r="K17" s="2261"/>
      <c r="L17" s="2261"/>
      <c r="M17" s="2261"/>
      <c r="N17" s="2261"/>
      <c r="O17" s="2261"/>
      <c r="P17" s="2261"/>
      <c r="Q17" s="2261"/>
      <c r="R17" s="2261"/>
      <c r="S17" s="2261"/>
      <c r="T17" s="2261"/>
      <c r="U17" s="95"/>
      <c r="V17" s="2049" t="s">
        <v>27</v>
      </c>
      <c r="W17" s="2049"/>
      <c r="X17" s="2049" t="s">
        <v>28</v>
      </c>
      <c r="Y17" s="2049"/>
      <c r="Z17" s="2190" t="s">
        <v>140</v>
      </c>
      <c r="AA17" s="2190"/>
    </row>
    <row r="18" spans="1:27" ht="69.75" customHeight="1">
      <c r="A18" s="2252" t="s">
        <v>535</v>
      </c>
      <c r="B18" s="2252"/>
      <c r="C18" s="229"/>
      <c r="D18" s="2253" t="s">
        <v>1818</v>
      </c>
      <c r="E18" s="2253"/>
      <c r="F18" s="2253" t="s">
        <v>1819</v>
      </c>
      <c r="G18" s="2253"/>
      <c r="H18" s="2253" t="s">
        <v>210</v>
      </c>
      <c r="I18" s="2253"/>
      <c r="J18" s="2208" t="s">
        <v>620</v>
      </c>
      <c r="K18" s="2208"/>
      <c r="L18" s="2208"/>
      <c r="M18" s="2208"/>
      <c r="N18" s="2208"/>
      <c r="O18" s="2208"/>
      <c r="P18" s="2208"/>
      <c r="Q18" s="2208"/>
      <c r="R18" s="2208"/>
      <c r="S18" s="2208"/>
      <c r="T18" s="2208"/>
      <c r="V18" s="2252" t="s">
        <v>6</v>
      </c>
      <c r="W18" s="2252"/>
      <c r="X18" s="37" t="s">
        <v>7</v>
      </c>
      <c r="Y18" s="37" t="s">
        <v>9</v>
      </c>
      <c r="Z18" s="2252" t="s">
        <v>10</v>
      </c>
      <c r="AA18" s="2252" t="s">
        <v>11</v>
      </c>
    </row>
    <row r="19" spans="1:27" ht="99.75" customHeight="1">
      <c r="A19" s="2252"/>
      <c r="B19" s="2252"/>
      <c r="C19" s="229" t="s">
        <v>534</v>
      </c>
      <c r="D19" s="229" t="s">
        <v>7</v>
      </c>
      <c r="E19" s="229" t="s">
        <v>9</v>
      </c>
      <c r="F19" s="29" t="s">
        <v>746</v>
      </c>
      <c r="G19" s="29" t="s">
        <v>745</v>
      </c>
      <c r="H19" s="29" t="s">
        <v>747</v>
      </c>
      <c r="I19" s="29" t="s">
        <v>748</v>
      </c>
      <c r="J19" s="1515" t="s">
        <v>736</v>
      </c>
      <c r="K19" s="1516" t="s">
        <v>621</v>
      </c>
      <c r="L19" s="1516" t="s">
        <v>738</v>
      </c>
      <c r="M19" s="1516" t="s">
        <v>737</v>
      </c>
      <c r="N19" s="1517" t="s">
        <v>623</v>
      </c>
      <c r="O19" s="1517" t="s">
        <v>624</v>
      </c>
      <c r="P19" s="1517" t="s">
        <v>629</v>
      </c>
      <c r="Q19" s="1518" t="s">
        <v>744</v>
      </c>
      <c r="R19" s="1519" t="s">
        <v>740</v>
      </c>
      <c r="S19" s="1518" t="s">
        <v>739</v>
      </c>
      <c r="T19" s="1518" t="s">
        <v>743</v>
      </c>
      <c r="V19" s="2252"/>
      <c r="W19" s="2252"/>
      <c r="X19" s="37" t="s">
        <v>8</v>
      </c>
      <c r="Y19" s="37" t="s">
        <v>8</v>
      </c>
      <c r="Z19" s="2252"/>
      <c r="AA19" s="2252"/>
    </row>
    <row r="20" spans="1:27" ht="18" customHeight="1">
      <c r="A20" s="2249" t="s">
        <v>12</v>
      </c>
      <c r="B20" s="221" t="s">
        <v>13</v>
      </c>
      <c r="C20" s="221">
        <v>5500</v>
      </c>
      <c r="D20" s="36">
        <f>'Equipment Results Matrix'!$R$97+('Equipment Results Matrix'!$R$98*C20)+'Equipment Results Matrix'!$R$99+'Equipment Results Matrix'!$R$102+'Equipment Results Matrix'!$R$106+('Equipment Results Matrix'!$R$109*X20)+'Equipment Results Matrix'!$T$103</f>
        <v>171.36392100687101</v>
      </c>
      <c r="E20" s="36">
        <f>'Equipment Results Matrix'!$R$97+('Equipment Results Matrix'!$R$98*C20)+'Equipment Results Matrix'!$R$99+'Equipment Results Matrix'!$R$102+'Equipment Results Matrix'!$R$106+('Equipment Results Matrix'!$R$109*Y20)+'Equipment Results Matrix'!$T$103</f>
        <v>143.82392100687099</v>
      </c>
      <c r="F20" s="36">
        <f>'Equipment Results Matrix'!$R$96+('Equipment Results Matrix'!$R$98*C20)+'Equipment Results Matrix'!$R$99+'Equipment Results Matrix'!$R$102+'Equipment Results Matrix'!$R$106+('Equipment Results Matrix'!$R$109*Z20)+'Equipment Results Matrix'!$T$103</f>
        <v>191.40792100687099</v>
      </c>
      <c r="G20" s="36">
        <f>'Equipment Results Matrix'!$R$96+('Equipment Results Matrix'!$R$98*C20)+'Equipment Results Matrix'!$R$99+'Equipment Results Matrix'!$R$102+'Equipment Results Matrix'!$R$106+('Equipment Results Matrix'!$R$109*AA20)+'Equipment Results Matrix'!$T$103</f>
        <v>161.11392100687101</v>
      </c>
      <c r="H20" s="38">
        <f>F20-D20</f>
        <v>20.043999999999983</v>
      </c>
      <c r="I20" s="38">
        <f>G20-E20</f>
        <v>17.29000000000002</v>
      </c>
      <c r="J20" s="2255" t="s">
        <v>741</v>
      </c>
      <c r="K20" s="342">
        <v>0.05</v>
      </c>
      <c r="L20" s="343">
        <v>12</v>
      </c>
      <c r="M20" s="343">
        <v>3</v>
      </c>
      <c r="N20" s="222">
        <f>((1+$K20)^M20-1)/($K20*(1+$K20)^M20)</f>
        <v>2.7232480293704802</v>
      </c>
      <c r="O20" s="3">
        <f>((1+$K20)^L20-1)/($K20*(1+$K20)^L20)</f>
        <v>8.8632516364488083</v>
      </c>
      <c r="P20" s="3">
        <f>N20/O20</f>
        <v>0.30725157550210203</v>
      </c>
      <c r="Q20" s="344">
        <f>D20*P20</f>
        <v>52.651834713578879</v>
      </c>
      <c r="R20" s="345">
        <f>P20*E20</f>
        <v>44.190126324250983</v>
      </c>
      <c r="S20" s="347">
        <f>Q20+F20</f>
        <v>244.05975572044986</v>
      </c>
      <c r="T20" s="347">
        <f>R20+G20</f>
        <v>205.30404733112198</v>
      </c>
      <c r="V20" s="2249" t="s">
        <v>12</v>
      </c>
      <c r="W20" s="18" t="s">
        <v>13</v>
      </c>
      <c r="X20" s="18">
        <v>11</v>
      </c>
      <c r="Y20" s="18">
        <v>10</v>
      </c>
      <c r="Z20" s="18">
        <v>12.1</v>
      </c>
      <c r="AA20" s="18">
        <v>11</v>
      </c>
    </row>
    <row r="21" spans="1:27" ht="18" customHeight="1">
      <c r="A21" s="2249"/>
      <c r="B21" s="221" t="s">
        <v>14</v>
      </c>
      <c r="C21" s="221">
        <v>9500</v>
      </c>
      <c r="D21" s="36">
        <f>'Equipment Results Matrix'!$R$97+('Equipment Results Matrix'!$R$98*C21)+'Equipment Results Matrix'!$R$99+'Equipment Results Matrix'!$R$102+'Equipment Results Matrix'!$R$106+('Equipment Results Matrix'!$R$109*X21)+'Equipment Results Matrix'!$T$103</f>
        <v>260.60992100687099</v>
      </c>
      <c r="E21" s="36">
        <f>'Equipment Results Matrix'!$R$97+('Equipment Results Matrix'!$R$98*C21)+'Equipment Results Matrix'!$R$99+'Equipment Results Matrix'!$R$102+'Equipment Results Matrix'!$R$106+('Equipment Results Matrix'!$R$109*Y21)+'Equipment Results Matrix'!$T$103</f>
        <v>224.80792100687097</v>
      </c>
      <c r="F21" s="36">
        <f>'Equipment Results Matrix'!$R$96+('Equipment Results Matrix'!$R$98*9500)+'Equipment Results Matrix'!$R$99+'Equipment Results Matrix'!$R$102+'Equipment Results Matrix'!$R$106+('Equipment Results Matrix'!$R$109*Z21)+'Equipment Results Matrix'!$T$103</f>
        <v>280.65392100687097</v>
      </c>
      <c r="G21" s="36">
        <f>'Equipment Results Matrix'!$R$96+('Equipment Results Matrix'!$R$98*9500)+'Equipment Results Matrix'!$R$99+'Equipment Results Matrix'!$R$102+'Equipment Results Matrix'!$R$106+('Equipment Results Matrix'!$R$109*AA21)+'Equipment Results Matrix'!$T$103</f>
        <v>242.09792100687099</v>
      </c>
      <c r="H21" s="38">
        <f t="shared" ref="H21:H30" si="10">F21-D21</f>
        <v>20.043999999999983</v>
      </c>
      <c r="I21" s="38">
        <f t="shared" ref="I21:I28" si="11">G21-E21</f>
        <v>17.29000000000002</v>
      </c>
      <c r="J21" s="2255"/>
      <c r="K21" s="342">
        <v>0.05</v>
      </c>
      <c r="L21" s="343">
        <v>12</v>
      </c>
      <c r="M21" s="343">
        <v>3</v>
      </c>
      <c r="N21" s="222">
        <f t="shared" ref="N21:N30" si="12">((1+$K21)^M21-1)/($K21*(1+$K21)^M21)</f>
        <v>2.7232480293704802</v>
      </c>
      <c r="O21" s="3">
        <f t="shared" ref="O21:O30" si="13">((1+$K21)^L21-1)/($K21*(1+$K21)^L21)</f>
        <v>8.8632516364488083</v>
      </c>
      <c r="P21" s="3">
        <f t="shared" ref="P21:P30" si="14">N21/O21</f>
        <v>0.30725157550210203</v>
      </c>
      <c r="Q21" s="344">
        <f t="shared" ref="Q21:Q30" si="15">D21*P21</f>
        <v>80.072808820839469</v>
      </c>
      <c r="R21" s="345">
        <f t="shared" ref="R21:R28" si="16">P21*E21</f>
        <v>69.07258791471321</v>
      </c>
      <c r="S21" s="347">
        <f t="shared" ref="S21:T30" si="17">Q21+F21</f>
        <v>360.72672982771041</v>
      </c>
      <c r="T21" s="347">
        <f t="shared" si="17"/>
        <v>311.1705089215842</v>
      </c>
      <c r="V21" s="2249"/>
      <c r="W21" s="18" t="s">
        <v>14</v>
      </c>
      <c r="X21" s="18">
        <v>10.9</v>
      </c>
      <c r="Y21" s="18">
        <v>9.6</v>
      </c>
      <c r="Z21" s="18">
        <v>12</v>
      </c>
      <c r="AA21" s="18">
        <v>10.6</v>
      </c>
    </row>
    <row r="22" spans="1:27" ht="18" customHeight="1">
      <c r="A22" s="2249"/>
      <c r="B22" s="221" t="s">
        <v>15</v>
      </c>
      <c r="C22" s="221">
        <v>12500</v>
      </c>
      <c r="D22" s="36">
        <f>'Equipment Results Matrix'!$R$97+('Equipment Results Matrix'!$R$98*C22)+'Equipment Results Matrix'!$R$99+'Equipment Results Matrix'!$R$102+'Equipment Results Matrix'!$R$106+('Equipment Results Matrix'!$R$109*X22)+'Equipment Results Matrix'!$T$103</f>
        <v>329.60992100687099</v>
      </c>
      <c r="E22" s="36">
        <f>'Equipment Results Matrix'!$R$97+('Equipment Results Matrix'!$R$98*C22)+'Equipment Results Matrix'!$R$99+'Equipment Results Matrix'!$R$102+'Equipment Results Matrix'!$R$106+('Equipment Results Matrix'!$R$109*Y22)+'Equipment Results Matrix'!$T$103</f>
        <v>291.05392100687106</v>
      </c>
      <c r="F22" s="36">
        <f>'Equipment Results Matrix'!$R$96+('Equipment Results Matrix'!$R$98*12500)+'Equipment Results Matrix'!$R$99+'Equipment Results Matrix'!$R$102+'Equipment Results Matrix'!$R$106+('Equipment Results Matrix'!$R$109*Z22)+'Equipment Results Matrix'!$T$103</f>
        <v>349.65392100687097</v>
      </c>
      <c r="G22" s="36">
        <f>'Equipment Results Matrix'!$R$96+('Equipment Results Matrix'!$R$98*12500)+'Equipment Results Matrix'!$R$99+'Equipment Results Matrix'!$R$102+'Equipment Results Matrix'!$R$106+('Equipment Results Matrix'!$R$109*AA22)+'Equipment Results Matrix'!$T$103</f>
        <v>308.34392100687103</v>
      </c>
      <c r="H22" s="38">
        <f t="shared" si="10"/>
        <v>20.043999999999983</v>
      </c>
      <c r="I22" s="38">
        <f t="shared" si="11"/>
        <v>17.289999999999964</v>
      </c>
      <c r="J22" s="2255"/>
      <c r="K22" s="342">
        <v>0.05</v>
      </c>
      <c r="L22" s="343">
        <v>12</v>
      </c>
      <c r="M22" s="343">
        <v>3</v>
      </c>
      <c r="N22" s="222">
        <f t="shared" si="12"/>
        <v>2.7232480293704802</v>
      </c>
      <c r="O22" s="3">
        <f t="shared" si="13"/>
        <v>8.8632516364488083</v>
      </c>
      <c r="P22" s="3">
        <f t="shared" si="14"/>
        <v>0.30725157550210203</v>
      </c>
      <c r="Q22" s="344">
        <f t="shared" si="15"/>
        <v>101.2731675304845</v>
      </c>
      <c r="R22" s="345">
        <f t="shared" si="16"/>
        <v>89.426775785425477</v>
      </c>
      <c r="S22" s="347">
        <f t="shared" si="17"/>
        <v>450.92708853735547</v>
      </c>
      <c r="T22" s="347">
        <f t="shared" si="17"/>
        <v>397.77069679229652</v>
      </c>
      <c r="V22" s="2249"/>
      <c r="W22" s="18" t="s">
        <v>15</v>
      </c>
      <c r="X22" s="18">
        <v>10.9</v>
      </c>
      <c r="Y22" s="18">
        <v>9.5</v>
      </c>
      <c r="Z22" s="18">
        <v>12</v>
      </c>
      <c r="AA22" s="18">
        <v>10.5</v>
      </c>
    </row>
    <row r="23" spans="1:27" ht="16.2">
      <c r="A23" s="2249"/>
      <c r="B23" s="221" t="s">
        <v>16</v>
      </c>
      <c r="C23" s="221">
        <v>17000</v>
      </c>
      <c r="D23" s="36">
        <f>'Equipment Results Matrix'!$R$97+('Equipment Results Matrix'!$R$98*C23)+'Equipment Results Matrix'!$R$99+'Equipment Results Matrix'!$R$102+'Equipment Results Matrix'!$R$106+('Equipment Results Matrix'!$R$109*X23)+'Equipment Results Matrix'!$T$103</f>
        <v>427.60192100687107</v>
      </c>
      <c r="E23" s="36">
        <f>'Equipment Results Matrix'!$R$97+('Equipment Results Matrix'!$R$98*C23)+'Equipment Results Matrix'!$R$99+'Equipment Results Matrix'!$R$102+'Equipment Results Matrix'!$R$106+('Equipment Results Matrix'!$R$109*Y23)+'Equipment Results Matrix'!$T$103</f>
        <v>389.04592100687103</v>
      </c>
      <c r="F23" s="36">
        <f>'Equipment Results Matrix'!$R$96+('Equipment Results Matrix'!$R$98*17000)+'Equipment Results Matrix'!$R$99+'Equipment Results Matrix'!$R$102+'Equipment Results Matrix'!$R$106+('Equipment Results Matrix'!$R$109*Z23)+'Equipment Results Matrix'!$T$103</f>
        <v>447.64592100687105</v>
      </c>
      <c r="G23" s="36">
        <f>'Equipment Results Matrix'!$R$96+('Equipment Results Matrix'!$R$98*17000)+'Equipment Results Matrix'!$R$99+'Equipment Results Matrix'!$R$102+'Equipment Results Matrix'!$R$106+('Equipment Results Matrix'!$R$109*AA23)+'Equipment Results Matrix'!$T$103</f>
        <v>403.58192100687097</v>
      </c>
      <c r="H23" s="38">
        <f t="shared" si="10"/>
        <v>20.043999999999983</v>
      </c>
      <c r="I23" s="38">
        <f t="shared" si="11"/>
        <v>14.535999999999945</v>
      </c>
      <c r="J23" s="2255"/>
      <c r="K23" s="342">
        <v>0.05</v>
      </c>
      <c r="L23" s="343">
        <v>12</v>
      </c>
      <c r="M23" s="343">
        <v>3</v>
      </c>
      <c r="N23" s="222">
        <f t="shared" si="12"/>
        <v>2.7232480293704802</v>
      </c>
      <c r="O23" s="3">
        <f t="shared" si="13"/>
        <v>8.8632516364488083</v>
      </c>
      <c r="P23" s="3">
        <f t="shared" si="14"/>
        <v>0.30725157550210203</v>
      </c>
      <c r="Q23" s="344">
        <f t="shared" si="15"/>
        <v>131.3813639170865</v>
      </c>
      <c r="R23" s="345">
        <f t="shared" si="16"/>
        <v>119.53497217202745</v>
      </c>
      <c r="S23" s="347">
        <f t="shared" si="17"/>
        <v>579.0272849239575</v>
      </c>
      <c r="T23" s="347">
        <f t="shared" si="17"/>
        <v>523.11689317889841</v>
      </c>
      <c r="V23" s="2249"/>
      <c r="W23" s="18" t="s">
        <v>16</v>
      </c>
      <c r="X23" s="18">
        <v>10.7</v>
      </c>
      <c r="Y23" s="18">
        <v>9.3000000000000007</v>
      </c>
      <c r="Z23" s="18">
        <v>11.8</v>
      </c>
      <c r="AA23" s="18">
        <v>10.199999999999999</v>
      </c>
    </row>
    <row r="24" spans="1:27" ht="16.2">
      <c r="A24" s="2249"/>
      <c r="B24" s="221" t="s">
        <v>17</v>
      </c>
      <c r="C24" s="221">
        <v>22500</v>
      </c>
      <c r="D24" s="36">
        <f>'Equipment Results Matrix'!$R$97+('Equipment Results Matrix'!$R$98*C24)+'Equipment Results Matrix'!$R$99+'Equipment Results Matrix'!$R$102+'Equipment Results Matrix'!$R$106+('Equipment Results Matrix'!$R$109*X24)+'Equipment Results Matrix'!$T$103</f>
        <v>518.29992100687105</v>
      </c>
      <c r="E24" s="36">
        <f>'Equipment Results Matrix'!$R$97+('Equipment Results Matrix'!$R$98*C24)+'Equipment Results Matrix'!$R$99+'Equipment Results Matrix'!$R$102+'Equipment Results Matrix'!$R$106+('Equipment Results Matrix'!$R$109*Y24)+'Equipment Results Matrix'!$T$103</f>
        <v>518.29992100687105</v>
      </c>
      <c r="F24" s="36">
        <f>'Equipment Results Matrix'!$R$96+('Equipment Results Matrix'!$R$98*22500)+'Equipment Results Matrix'!$R$99+'Equipment Results Matrix'!$R$102+'Equipment Results Matrix'!$R$106+('Equipment Results Matrix'!$R$109*Z24)+'Equipment Results Matrix'!$T$103</f>
        <v>532.8359210068711</v>
      </c>
      <c r="G24" s="36">
        <f>'Equipment Results Matrix'!$R$96+('Equipment Results Matrix'!$R$98*22500)+'Equipment Results Matrix'!$R$99+'Equipment Results Matrix'!$R$102+'Equipment Results Matrix'!$R$106+('Equipment Results Matrix'!$R$109*AA24)+'Equipment Results Matrix'!$T$103</f>
        <v>532.8359210068711</v>
      </c>
      <c r="H24" s="38">
        <f t="shared" si="10"/>
        <v>14.536000000000058</v>
      </c>
      <c r="I24" s="38">
        <f t="shared" si="11"/>
        <v>14.536000000000058</v>
      </c>
      <c r="J24" s="2255"/>
      <c r="K24" s="342">
        <v>0.05</v>
      </c>
      <c r="L24" s="343">
        <v>12</v>
      </c>
      <c r="M24" s="343">
        <v>3</v>
      </c>
      <c r="N24" s="222">
        <f t="shared" si="12"/>
        <v>2.7232480293704802</v>
      </c>
      <c r="O24" s="3">
        <f t="shared" si="13"/>
        <v>8.8632516364488083</v>
      </c>
      <c r="P24" s="3">
        <f t="shared" si="14"/>
        <v>0.30725157550210203</v>
      </c>
      <c r="Q24" s="344">
        <f t="shared" si="15"/>
        <v>159.24846731197616</v>
      </c>
      <c r="R24" s="345">
        <f t="shared" si="16"/>
        <v>159.24846731197616</v>
      </c>
      <c r="S24" s="347">
        <f t="shared" si="17"/>
        <v>692.08438831884723</v>
      </c>
      <c r="T24" s="347">
        <f t="shared" si="17"/>
        <v>692.08438831884723</v>
      </c>
      <c r="V24" s="2249"/>
      <c r="W24" s="18" t="s">
        <v>17</v>
      </c>
      <c r="X24" s="18">
        <v>9.4</v>
      </c>
      <c r="Y24" s="18">
        <v>9.4</v>
      </c>
      <c r="Z24" s="18">
        <v>10.3</v>
      </c>
      <c r="AA24" s="18">
        <v>10.3</v>
      </c>
    </row>
    <row r="25" spans="1:27" ht="16.2">
      <c r="A25" s="2249"/>
      <c r="B25" s="221" t="s">
        <v>18</v>
      </c>
      <c r="C25" s="221">
        <v>26500</v>
      </c>
      <c r="D25" s="36">
        <f>'Equipment Results Matrix'!$R$97+('Equipment Results Matrix'!$R$98*C25+'Equipment Results Matrix'!$R$99+'Equipment Results Matrix'!$R$102+'Equipment Results Matrix'!$R$106+('Equipment Results Matrix'!$R$109*X25)+'Equipment Results Matrix'!$T$103)</f>
        <v>599.28392100687108</v>
      </c>
      <c r="E25" s="36">
        <f>'Equipment Results Matrix'!$R$97+('Equipment Results Matrix'!$R$98*C25)+'Equipment Results Matrix'!$R$99+'Equipment Results Matrix'!$R$102+'Equipment Results Matrix'!$R$106+('Equipment Results Matrix'!$R$109*Y25)+'Equipment Results Matrix'!$T$103</f>
        <v>610.29992100687105</v>
      </c>
      <c r="F25" s="36">
        <f>'Equipment Results Matrix'!$R$96+('Equipment Results Matrix'!$R$98*26500)+'Equipment Results Matrix'!$R$99+'Equipment Results Matrix'!$R$102+'Equipment Results Matrix'!$R$106+('Equipment Results Matrix'!$R$109*Z25)+'Equipment Results Matrix'!$T$103</f>
        <v>624.8359210068711</v>
      </c>
      <c r="G25" s="36">
        <f>'Equipment Results Matrix'!$R$96+('Equipment Results Matrix'!$R$98*26500)+'Equipment Results Matrix'!$R$99+'Equipment Results Matrix'!$R$102+'Equipment Results Matrix'!$R$106+('Equipment Results Matrix'!$R$109*AA25)+'Equipment Results Matrix'!$T$103</f>
        <v>624.8359210068711</v>
      </c>
      <c r="H25" s="38">
        <f t="shared" si="10"/>
        <v>25.552000000000021</v>
      </c>
      <c r="I25" s="38">
        <f t="shared" si="11"/>
        <v>14.536000000000058</v>
      </c>
      <c r="J25" s="2255"/>
      <c r="K25" s="342">
        <v>0.05</v>
      </c>
      <c r="L25" s="343">
        <v>12</v>
      </c>
      <c r="M25" s="343">
        <v>3</v>
      </c>
      <c r="N25" s="222">
        <f t="shared" si="12"/>
        <v>2.7232480293704802</v>
      </c>
      <c r="O25" s="3">
        <f t="shared" si="13"/>
        <v>8.8632516364488083</v>
      </c>
      <c r="P25" s="3">
        <f t="shared" si="14"/>
        <v>0.30725157550210203</v>
      </c>
      <c r="Q25" s="344">
        <f t="shared" si="15"/>
        <v>184.1309289024384</v>
      </c>
      <c r="R25" s="345">
        <f t="shared" si="16"/>
        <v>187.51561225816954</v>
      </c>
      <c r="S25" s="347">
        <f t="shared" si="17"/>
        <v>808.96684990930953</v>
      </c>
      <c r="T25" s="347">
        <f t="shared" si="17"/>
        <v>812.35153326504064</v>
      </c>
      <c r="V25" s="2249"/>
      <c r="W25" s="18" t="s">
        <v>18</v>
      </c>
      <c r="X25" s="18">
        <v>9</v>
      </c>
      <c r="Y25" s="18">
        <v>9.4</v>
      </c>
      <c r="Z25" s="18">
        <v>10.3</v>
      </c>
      <c r="AA25" s="18">
        <v>10.3</v>
      </c>
    </row>
    <row r="26" spans="1:27" ht="16.2">
      <c r="A26" s="2249"/>
      <c r="B26" s="221" t="s">
        <v>19</v>
      </c>
      <c r="C26" s="221">
        <v>29000</v>
      </c>
      <c r="D26" s="36">
        <f>'Equipment Results Matrix'!$R$97+('Equipment Results Matrix'!$R$98*C26)+'Equipment Results Matrix'!$R$99+'Equipment Results Matrix'!$R$102+'Equipment Results Matrix'!$R$106+('Equipment Results Matrix'!$R$109*X26)+'Equipment Results Matrix'!$T$103</f>
        <v>656.78392100687108</v>
      </c>
      <c r="E26" s="36">
        <f>'Equipment Results Matrix'!$R$97+('Equipment Results Matrix'!$R$98*C26)+'Equipment Results Matrix'!$R$99+'Equipment Results Matrix'!$R$102+'Equipment Results Matrix'!$R$106+('Equipment Results Matrix'!$R$109*Y26)+'Equipment Results Matrix'!$T$103</f>
        <v>667.79992100687105</v>
      </c>
      <c r="F26" s="36">
        <f>'Equipment Results Matrix'!$R$96+('Equipment Results Matrix'!$R$98*30000)+'Equipment Results Matrix'!$R$99+'Equipment Results Matrix'!$R$102+'Equipment Results Matrix'!$R$106+('Equipment Results Matrix'!$R$109*Z26)+'Equipment Results Matrix'!$T$103</f>
        <v>694.31992100687114</v>
      </c>
      <c r="G26" s="36">
        <f>'Equipment Results Matrix'!$R$96+('Equipment Results Matrix'!$R$98*30000)+'Equipment Results Matrix'!$R$99+'Equipment Results Matrix'!$R$102+'Equipment Results Matrix'!$R$106+('Equipment Results Matrix'!$R$109*AA26)+'Equipment Results Matrix'!$T$103</f>
        <v>705.3359210068711</v>
      </c>
      <c r="H26" s="38">
        <f t="shared" si="10"/>
        <v>37.536000000000058</v>
      </c>
      <c r="I26" s="38">
        <f t="shared" si="11"/>
        <v>37.536000000000058</v>
      </c>
      <c r="J26" s="2255"/>
      <c r="K26" s="342">
        <v>0.05</v>
      </c>
      <c r="L26" s="343">
        <v>12</v>
      </c>
      <c r="M26" s="343">
        <v>3</v>
      </c>
      <c r="N26" s="222">
        <f t="shared" si="12"/>
        <v>2.7232480293704802</v>
      </c>
      <c r="O26" s="3">
        <f t="shared" si="13"/>
        <v>8.8632516364488083</v>
      </c>
      <c r="P26" s="3">
        <f t="shared" si="14"/>
        <v>0.30725157550210203</v>
      </c>
      <c r="Q26" s="344">
        <f t="shared" si="15"/>
        <v>201.79789449380925</v>
      </c>
      <c r="R26" s="345">
        <f t="shared" si="16"/>
        <v>205.18257784954039</v>
      </c>
      <c r="S26" s="347">
        <f t="shared" si="17"/>
        <v>896.11781550068042</v>
      </c>
      <c r="T26" s="347">
        <f t="shared" si="17"/>
        <v>910.5184988564115</v>
      </c>
      <c r="V26" s="2249"/>
      <c r="W26" s="18" t="s">
        <v>19</v>
      </c>
      <c r="X26" s="18">
        <v>9</v>
      </c>
      <c r="Y26" s="18">
        <v>9.4</v>
      </c>
      <c r="Z26" s="18">
        <v>9.9</v>
      </c>
      <c r="AA26" s="18">
        <v>10.3</v>
      </c>
    </row>
    <row r="27" spans="1:27" ht="18" customHeight="1">
      <c r="A27" s="2249" t="s">
        <v>20</v>
      </c>
      <c r="B27" s="221" t="s">
        <v>21</v>
      </c>
      <c r="C27" s="221">
        <v>10000</v>
      </c>
      <c r="D27" s="36" t="s">
        <v>22</v>
      </c>
      <c r="E27" s="36">
        <f>'Equipment Results Matrix'!$R$97+('Equipment Results Matrix'!$R$98*C27)+'Equipment Results Matrix'!$R$99+'Equipment Results Matrix'!$R$102+'Equipment Results Matrix'!$R$106+('Equipment Results Matrix'!$R$109*Y27)+'Equipment Results Matrix'!$T$103</f>
        <v>228.04592100687103</v>
      </c>
      <c r="F27" s="36" t="s">
        <v>22</v>
      </c>
      <c r="G27" s="36">
        <f>'Equipment Results Matrix'!$R$96+('Equipment Results Matrix'!$R$98*C27)+'Equipment Results Matrix'!$R$99+'Equipment Results Matrix'!$R$102+'Equipment Results Matrix'!$R$106+('Equipment Results Matrix'!$R$109*AA27)+'Equipment Results Matrix'!$T$103</f>
        <v>242.58192100687097</v>
      </c>
      <c r="H27" s="38" t="s">
        <v>22</v>
      </c>
      <c r="I27" s="38">
        <f t="shared" si="11"/>
        <v>14.535999999999945</v>
      </c>
      <c r="J27" s="2255"/>
      <c r="K27" s="342">
        <v>0.05</v>
      </c>
      <c r="L27" s="343">
        <v>12</v>
      </c>
      <c r="M27" s="343">
        <v>3</v>
      </c>
      <c r="N27" s="222">
        <f t="shared" si="12"/>
        <v>2.7232480293704802</v>
      </c>
      <c r="O27" s="3">
        <f t="shared" si="13"/>
        <v>8.8632516364488083</v>
      </c>
      <c r="P27" s="3">
        <f t="shared" si="14"/>
        <v>0.30725157550210203</v>
      </c>
      <c r="Q27" s="344" t="s">
        <v>22</v>
      </c>
      <c r="R27" s="345">
        <f>P27*E27</f>
        <v>70.067468516189024</v>
      </c>
      <c r="S27" s="347" t="s">
        <v>22</v>
      </c>
      <c r="T27" s="347">
        <f t="shared" si="17"/>
        <v>312.64938952305999</v>
      </c>
      <c r="V27" s="2249" t="s">
        <v>20</v>
      </c>
      <c r="W27" s="18" t="s">
        <v>21</v>
      </c>
      <c r="X27" s="18" t="s">
        <v>22</v>
      </c>
      <c r="Y27" s="18">
        <v>9.3000000000000007</v>
      </c>
      <c r="Z27" s="18" t="s">
        <v>22</v>
      </c>
      <c r="AA27" s="18">
        <v>10.199999999999999</v>
      </c>
    </row>
    <row r="28" spans="1:27" ht="16.2">
      <c r="A28" s="2249"/>
      <c r="B28" s="221" t="s">
        <v>23</v>
      </c>
      <c r="C28" s="221">
        <v>20000</v>
      </c>
      <c r="D28" s="36" t="s">
        <v>22</v>
      </c>
      <c r="E28" s="36">
        <f>'Equipment Results Matrix'!$R$97+('Equipment Results Matrix'!$R$98*C28)+'Equipment Results Matrix'!$R$99+'Equipment Results Matrix'!$R$102+'Equipment Results Matrix'!$R$106+('Equipment Results Matrix'!$R$109*Y28)+'Equipment Results Matrix'!$T$103</f>
        <v>441.52192100687103</v>
      </c>
      <c r="F28" s="36" t="s">
        <v>22</v>
      </c>
      <c r="G28" s="36">
        <f>'Equipment Results Matrix'!$R$96+('Equipment Results Matrix'!$R$98*C28)+'Equipment Results Matrix'!$R$99+'Equipment Results Matrix'!$R$102+'Equipment Results Matrix'!$R$106+('Equipment Results Matrix'!$R$109*AA28)+'Equipment Results Matrix'!$T$103</f>
        <v>456.05792100687097</v>
      </c>
      <c r="H28" s="38" t="s">
        <v>22</v>
      </c>
      <c r="I28" s="38">
        <f t="shared" si="11"/>
        <v>14.535999999999945</v>
      </c>
      <c r="J28" s="2255"/>
      <c r="K28" s="342">
        <v>0.05</v>
      </c>
      <c r="L28" s="343">
        <v>12</v>
      </c>
      <c r="M28" s="343">
        <v>3</v>
      </c>
      <c r="N28" s="222">
        <f t="shared" si="12"/>
        <v>2.7232480293704802</v>
      </c>
      <c r="O28" s="3">
        <f t="shared" si="13"/>
        <v>8.8632516364488083</v>
      </c>
      <c r="P28" s="3">
        <f t="shared" si="14"/>
        <v>0.30725157550210203</v>
      </c>
      <c r="Q28" s="344" t="s">
        <v>22</v>
      </c>
      <c r="R28" s="345">
        <f t="shared" si="16"/>
        <v>135.65830584807577</v>
      </c>
      <c r="S28" s="347" t="s">
        <v>22</v>
      </c>
      <c r="T28" s="347">
        <f t="shared" si="17"/>
        <v>591.71622685494674</v>
      </c>
      <c r="V28" s="2249"/>
      <c r="W28" s="18" t="s">
        <v>23</v>
      </c>
      <c r="X28" s="18" t="s">
        <v>22</v>
      </c>
      <c r="Y28" s="18">
        <v>8.6999999999999993</v>
      </c>
      <c r="Z28" s="18" t="s">
        <v>22</v>
      </c>
      <c r="AA28" s="18">
        <v>9.6</v>
      </c>
    </row>
    <row r="29" spans="1:27" ht="16.2">
      <c r="A29" s="2249"/>
      <c r="B29" s="221" t="s">
        <v>24</v>
      </c>
      <c r="C29" s="221">
        <v>10000</v>
      </c>
      <c r="D29" s="36">
        <f>'Equipment Results Matrix'!$R$97+('Equipment Results Matrix'!$R$98*C29)+'Equipment Results Matrix'!$R$99+'Equipment Results Matrix'!$R$102+'Equipment Results Matrix'!$R$106+('Equipment Results Matrix'!$R$109*X29)+'Equipment Results Matrix'!$T$103</f>
        <v>241.81592100687101</v>
      </c>
      <c r="E29" s="36" t="s">
        <v>22</v>
      </c>
      <c r="F29" s="36">
        <f>'Equipment Results Matrix'!$R$96+('Equipment Results Matrix'!$R$98*C29)+'Equipment Results Matrix'!$R$99+'Equipment Results Matrix'!$R$102+'Equipment Results Matrix'!$R$106+('Equipment Results Matrix'!$R$109*Z29)+'Equipment Results Matrix'!$T$103</f>
        <v>259.10592100687097</v>
      </c>
      <c r="G29" s="36" t="s">
        <v>22</v>
      </c>
      <c r="H29" s="38">
        <f t="shared" si="10"/>
        <v>17.289999999999964</v>
      </c>
      <c r="I29" s="38" t="s">
        <v>22</v>
      </c>
      <c r="J29" s="2255"/>
      <c r="K29" s="342">
        <v>0.05</v>
      </c>
      <c r="L29" s="343">
        <v>12</v>
      </c>
      <c r="M29" s="343">
        <v>3</v>
      </c>
      <c r="N29" s="222">
        <f t="shared" si="12"/>
        <v>2.7232480293704802</v>
      </c>
      <c r="O29" s="3">
        <f t="shared" si="13"/>
        <v>8.8632516364488083</v>
      </c>
      <c r="P29" s="3">
        <f t="shared" si="14"/>
        <v>0.30725157550210203</v>
      </c>
      <c r="Q29" s="344">
        <f t="shared" si="15"/>
        <v>74.298322710852972</v>
      </c>
      <c r="R29" s="346" t="s">
        <v>22</v>
      </c>
      <c r="S29" s="347">
        <f t="shared" si="17"/>
        <v>333.40424371772394</v>
      </c>
      <c r="T29" s="347" t="s">
        <v>22</v>
      </c>
      <c r="V29" s="2249"/>
      <c r="W29" s="18" t="s">
        <v>24</v>
      </c>
      <c r="X29" s="18">
        <v>9.8000000000000007</v>
      </c>
      <c r="Y29" s="18" t="s">
        <v>22</v>
      </c>
      <c r="Z29" s="18">
        <v>10.8</v>
      </c>
      <c r="AA29" s="18" t="s">
        <v>22</v>
      </c>
    </row>
    <row r="30" spans="1:27" ht="16.2">
      <c r="A30" s="2249"/>
      <c r="B30" s="221" t="s">
        <v>25</v>
      </c>
      <c r="C30" s="221">
        <v>25000</v>
      </c>
      <c r="D30" s="36">
        <f>'Equipment Results Matrix'!$R$97+('Equipment Results Matrix'!$R$98*C30)+'Equipment Results Matrix'!$R$99+'Equipment Results Matrix'!$R$102+'Equipment Results Matrix'!$R$106+('Equipment Results Matrix'!$R$109*X30)+'Equipment Results Matrix'!$T$103</f>
        <v>573.04592100687103</v>
      </c>
      <c r="E30" s="36" t="s">
        <v>22</v>
      </c>
      <c r="F30" s="36">
        <f>'Equipment Results Matrix'!$R$96+('Equipment Results Matrix'!$R$98*C30)+'Equipment Results Matrix'!$R$99+'Equipment Results Matrix'!$R$102+'Equipment Results Matrix'!$R$106+('Equipment Results Matrix'!$R$109*Z30)+'Equipment Results Matrix'!$T$103</f>
        <v>587.58192100687108</v>
      </c>
      <c r="G30" s="36" t="s">
        <v>22</v>
      </c>
      <c r="H30" s="38">
        <f t="shared" si="10"/>
        <v>14.536000000000058</v>
      </c>
      <c r="I30" s="38" t="s">
        <v>22</v>
      </c>
      <c r="J30" s="2255"/>
      <c r="K30" s="342">
        <v>0.05</v>
      </c>
      <c r="L30" s="343">
        <v>12</v>
      </c>
      <c r="M30" s="343">
        <v>3</v>
      </c>
      <c r="N30" s="222">
        <f t="shared" si="12"/>
        <v>2.7232480293704802</v>
      </c>
      <c r="O30" s="3">
        <f t="shared" si="13"/>
        <v>8.8632516364488083</v>
      </c>
      <c r="P30" s="3">
        <f t="shared" si="14"/>
        <v>0.30725157550210203</v>
      </c>
      <c r="Q30" s="344">
        <f t="shared" si="15"/>
        <v>176.06926206441423</v>
      </c>
      <c r="R30" s="346" t="s">
        <v>22</v>
      </c>
      <c r="S30" s="347">
        <f t="shared" si="17"/>
        <v>763.65118307128535</v>
      </c>
      <c r="T30" s="347" t="s">
        <v>22</v>
      </c>
      <c r="V30" s="2249"/>
      <c r="W30" s="18" t="s">
        <v>25</v>
      </c>
      <c r="X30" s="18">
        <v>9.3000000000000007</v>
      </c>
      <c r="Y30" s="18" t="s">
        <v>22</v>
      </c>
      <c r="Z30" s="18">
        <v>10.199999999999999</v>
      </c>
      <c r="AA30" s="18" t="s">
        <v>22</v>
      </c>
    </row>
    <row r="32" spans="1:27" ht="21">
      <c r="A32" s="2251" t="s">
        <v>141</v>
      </c>
      <c r="B32" s="2251"/>
      <c r="C32" s="2251"/>
      <c r="D32" s="2251"/>
      <c r="E32" s="2251"/>
      <c r="F32" s="2251"/>
      <c r="G32" s="2251"/>
      <c r="H32" s="2251"/>
      <c r="I32" s="2251"/>
      <c r="J32" s="2251"/>
      <c r="K32" s="2251"/>
      <c r="L32" s="2251"/>
      <c r="M32" s="2251"/>
      <c r="N32" s="2251"/>
      <c r="O32" s="2251"/>
      <c r="P32" s="2251"/>
      <c r="Q32" s="2251"/>
      <c r="R32" s="2251"/>
      <c r="S32" s="2251"/>
      <c r="T32" s="2251"/>
      <c r="V32" s="4" t="s">
        <v>634</v>
      </c>
    </row>
    <row r="33" spans="1:20" ht="16.2">
      <c r="A33" s="2252" t="s">
        <v>6</v>
      </c>
      <c r="B33" s="2252"/>
      <c r="C33" s="174"/>
      <c r="D33" s="2253" t="s">
        <v>1818</v>
      </c>
      <c r="E33" s="2253"/>
      <c r="F33" s="2253" t="s">
        <v>1819</v>
      </c>
      <c r="G33" s="2253"/>
      <c r="H33" s="2254" t="s">
        <v>210</v>
      </c>
      <c r="I33" s="2190"/>
      <c r="J33" s="2208" t="s">
        <v>764</v>
      </c>
      <c r="K33" s="2208"/>
      <c r="L33" s="2208"/>
      <c r="M33" s="2208"/>
      <c r="N33" s="2208"/>
      <c r="O33" s="2208"/>
      <c r="P33" s="2208"/>
      <c r="Q33" s="2208"/>
      <c r="R33" s="2208"/>
      <c r="S33" s="2208"/>
      <c r="T33" s="2208"/>
    </row>
    <row r="34" spans="1:20" ht="109.2">
      <c r="A34" s="2252"/>
      <c r="B34" s="2252"/>
      <c r="C34" s="174"/>
      <c r="D34" s="37" t="s">
        <v>7</v>
      </c>
      <c r="E34" s="37" t="s">
        <v>9</v>
      </c>
      <c r="F34" s="29" t="s">
        <v>746</v>
      </c>
      <c r="G34" s="29" t="s">
        <v>745</v>
      </c>
      <c r="H34" s="29" t="s">
        <v>747</v>
      </c>
      <c r="I34" s="29" t="s">
        <v>748</v>
      </c>
      <c r="J34" s="1515" t="s">
        <v>736</v>
      </c>
      <c r="K34" s="1516" t="s">
        <v>621</v>
      </c>
      <c r="L34" s="1516" t="s">
        <v>738</v>
      </c>
      <c r="M34" s="1516" t="s">
        <v>737</v>
      </c>
      <c r="N34" s="1517" t="s">
        <v>623</v>
      </c>
      <c r="O34" s="1517" t="s">
        <v>624</v>
      </c>
      <c r="P34" s="1517" t="s">
        <v>629</v>
      </c>
      <c r="Q34" s="1518" t="s">
        <v>744</v>
      </c>
      <c r="R34" s="1519" t="s">
        <v>740</v>
      </c>
      <c r="S34" s="1518" t="s">
        <v>739</v>
      </c>
      <c r="T34" s="1518" t="s">
        <v>743</v>
      </c>
    </row>
    <row r="35" spans="1:20" ht="16.2">
      <c r="A35" s="2249" t="s">
        <v>12</v>
      </c>
      <c r="B35" s="18" t="s">
        <v>13</v>
      </c>
      <c r="C35" s="175"/>
      <c r="D35" s="36">
        <f>D20*Inflation!$D$3</f>
        <v>184.76347712914836</v>
      </c>
      <c r="E35" s="36">
        <f>E20*Inflation!$D$3</f>
        <v>155.07002631266801</v>
      </c>
      <c r="F35" s="36">
        <f>F20*Inflation!$D$3</f>
        <v>206.37478897248644</v>
      </c>
      <c r="G35" s="36">
        <f>G20*Inflation!$D$3</f>
        <v>173.71199307435811</v>
      </c>
      <c r="H35" s="38">
        <f>F35-D35</f>
        <v>21.611311843338086</v>
      </c>
      <c r="I35" s="38">
        <f>G35-E35</f>
        <v>18.641966761690099</v>
      </c>
      <c r="J35" s="2250" t="s">
        <v>741</v>
      </c>
      <c r="K35" s="342">
        <v>0.05</v>
      </c>
      <c r="L35" s="343">
        <v>12</v>
      </c>
      <c r="M35" s="343">
        <v>3</v>
      </c>
      <c r="N35" s="416">
        <f>((1+$K35)^M35-1)/($K35*(1+$K35)^M35)</f>
        <v>2.7232480293704802</v>
      </c>
      <c r="O35" s="3">
        <f>((1+$K35)^L35-1)/($K35*(1+$K35)^L35)</f>
        <v>8.8632516364488083</v>
      </c>
      <c r="P35" s="3">
        <f>N35/O35</f>
        <v>0.30725157550210203</v>
      </c>
      <c r="Q35" s="344">
        <f>D35*P35</f>
        <v>56.768869443177429</v>
      </c>
      <c r="R35" s="345">
        <f>P35*E35</f>
        <v>47.645509897719663</v>
      </c>
      <c r="S35" s="347">
        <f>Q35+F35</f>
        <v>263.14365841566388</v>
      </c>
      <c r="T35" s="347">
        <f>R35+G35</f>
        <v>221.35750297207778</v>
      </c>
    </row>
    <row r="36" spans="1:20" ht="18.75" customHeight="1">
      <c r="A36" s="2249"/>
      <c r="B36" s="18" t="s">
        <v>14</v>
      </c>
      <c r="C36" s="175"/>
      <c r="D36" s="36">
        <f>D21*Inflation!$D$3</f>
        <v>280.98794014903228</v>
      </c>
      <c r="E36" s="36">
        <f>E21*Inflation!$D$3</f>
        <v>242.38645408760783</v>
      </c>
      <c r="F36" s="36">
        <f>F21*Inflation!$D$3</f>
        <v>302.5992519923704</v>
      </c>
      <c r="G36" s="36">
        <f>G21*Inflation!$D$3</f>
        <v>261.02842084929796</v>
      </c>
      <c r="H36" s="38">
        <f t="shared" ref="H36:H41" si="18">F36-D36</f>
        <v>21.611311843338115</v>
      </c>
      <c r="I36" s="38">
        <f t="shared" ref="I36:I43" si="19">G36-E36</f>
        <v>18.641966761690128</v>
      </c>
      <c r="J36" s="2250"/>
      <c r="K36" s="342">
        <v>0.05</v>
      </c>
      <c r="L36" s="343">
        <v>12</v>
      </c>
      <c r="M36" s="343">
        <v>3</v>
      </c>
      <c r="N36" s="416">
        <f t="shared" ref="N36:N45" si="20">((1+$K36)^M36-1)/($K36*(1+$K36)^M36)</f>
        <v>2.7232480293704802</v>
      </c>
      <c r="O36" s="3">
        <f t="shared" ref="O36:O45" si="21">((1+$K36)^L36-1)/($K36*(1+$K36)^L36)</f>
        <v>8.8632516364488083</v>
      </c>
      <c r="P36" s="3">
        <f t="shared" ref="P36:P45" si="22">N36/O36</f>
        <v>0.30725157550210203</v>
      </c>
      <c r="Q36" s="344">
        <f t="shared" ref="Q36:Q41" si="23">D36*P36</f>
        <v>86.33398730788052</v>
      </c>
      <c r="R36" s="345">
        <f t="shared" ref="R36:R43" si="24">P36*E36</f>
        <v>74.473619898785429</v>
      </c>
      <c r="S36" s="347">
        <f t="shared" ref="S36:S41" si="25">Q36+F36</f>
        <v>388.93323930025093</v>
      </c>
      <c r="T36" s="347">
        <f t="shared" ref="T36:T43" si="26">R36+G36</f>
        <v>335.5020407480834</v>
      </c>
    </row>
    <row r="37" spans="1:20" ht="16.2">
      <c r="A37" s="2249"/>
      <c r="B37" s="18" t="s">
        <v>15</v>
      </c>
      <c r="C37" s="175"/>
      <c r="D37" s="36">
        <f>D22*Inflation!$D$3</f>
        <v>355.38329622518125</v>
      </c>
      <c r="E37" s="36">
        <f>E22*Inflation!$D$3</f>
        <v>313.81246508210887</v>
      </c>
      <c r="F37" s="36">
        <f>F22*Inflation!$D$3</f>
        <v>376.99460806851937</v>
      </c>
      <c r="G37" s="36">
        <f>G22*Inflation!$D$3</f>
        <v>332.45443184379894</v>
      </c>
      <c r="H37" s="38">
        <f t="shared" si="18"/>
        <v>21.611311843338115</v>
      </c>
      <c r="I37" s="38">
        <f t="shared" si="19"/>
        <v>18.641966761690071</v>
      </c>
      <c r="J37" s="2250"/>
      <c r="K37" s="342">
        <v>0.05</v>
      </c>
      <c r="L37" s="343">
        <v>12</v>
      </c>
      <c r="M37" s="343">
        <v>3</v>
      </c>
      <c r="N37" s="416">
        <f t="shared" si="20"/>
        <v>2.7232480293704802</v>
      </c>
      <c r="O37" s="3">
        <f t="shared" si="21"/>
        <v>8.8632516364488083</v>
      </c>
      <c r="P37" s="3">
        <f t="shared" si="22"/>
        <v>0.30725157550210203</v>
      </c>
      <c r="Q37" s="344">
        <f t="shared" si="23"/>
        <v>109.19207767231717</v>
      </c>
      <c r="R37" s="345">
        <f t="shared" si="24"/>
        <v>96.419374308676325</v>
      </c>
      <c r="S37" s="347">
        <f t="shared" si="25"/>
        <v>486.18668574083654</v>
      </c>
      <c r="T37" s="347">
        <f t="shared" si="26"/>
        <v>428.87380615247525</v>
      </c>
    </row>
    <row r="38" spans="1:20" ht="16.2">
      <c r="A38" s="2249"/>
      <c r="B38" s="18" t="s">
        <v>16</v>
      </c>
      <c r="C38" s="175"/>
      <c r="D38" s="36">
        <f>D23*Inflation!$D$3</f>
        <v>461.03764017610877</v>
      </c>
      <c r="E38" s="36">
        <f>E23*Inflation!$D$3</f>
        <v>419.46680903303627</v>
      </c>
      <c r="F38" s="36">
        <f>F23*Inflation!$D$3</f>
        <v>482.64895201944688</v>
      </c>
      <c r="G38" s="36">
        <f>G23*Inflation!$D$3</f>
        <v>435.13943071307824</v>
      </c>
      <c r="H38" s="38">
        <f t="shared" si="18"/>
        <v>21.611311843338115</v>
      </c>
      <c r="I38" s="38">
        <f t="shared" si="19"/>
        <v>15.672621680041971</v>
      </c>
      <c r="J38" s="2250"/>
      <c r="K38" s="342">
        <v>0.05</v>
      </c>
      <c r="L38" s="343">
        <v>12</v>
      </c>
      <c r="M38" s="343">
        <v>3</v>
      </c>
      <c r="N38" s="416">
        <f t="shared" si="20"/>
        <v>2.7232480293704802</v>
      </c>
      <c r="O38" s="3">
        <f t="shared" si="21"/>
        <v>8.8632516364488083</v>
      </c>
      <c r="P38" s="3">
        <f t="shared" si="22"/>
        <v>0.30725157550210203</v>
      </c>
      <c r="Q38" s="344">
        <f t="shared" si="23"/>
        <v>141.65454130988064</v>
      </c>
      <c r="R38" s="345">
        <f t="shared" si="24"/>
        <v>128.88183794623976</v>
      </c>
      <c r="S38" s="347">
        <f t="shared" si="25"/>
        <v>624.30349332932747</v>
      </c>
      <c r="T38" s="347">
        <f t="shared" si="26"/>
        <v>564.02126865931803</v>
      </c>
    </row>
    <row r="39" spans="1:20" ht="16.2">
      <c r="A39" s="2249"/>
      <c r="B39" s="18" t="s">
        <v>17</v>
      </c>
      <c r="C39" s="175"/>
      <c r="D39" s="36">
        <f>D24*Inflation!$D$3</f>
        <v>558.82764025429083</v>
      </c>
      <c r="E39" s="36">
        <f>E24*Inflation!$D$3</f>
        <v>558.82764025429083</v>
      </c>
      <c r="F39" s="36">
        <f>F24*Inflation!$D$3</f>
        <v>574.50026193433291</v>
      </c>
      <c r="G39" s="36">
        <f>G24*Inflation!$D$3</f>
        <v>574.50026193433291</v>
      </c>
      <c r="H39" s="38">
        <f t="shared" si="18"/>
        <v>15.672621680042084</v>
      </c>
      <c r="I39" s="38">
        <f t="shared" si="19"/>
        <v>15.672621680042084</v>
      </c>
      <c r="J39" s="2250"/>
      <c r="K39" s="342">
        <v>0.05</v>
      </c>
      <c r="L39" s="343">
        <v>12</v>
      </c>
      <c r="M39" s="343">
        <v>3</v>
      </c>
      <c r="N39" s="416">
        <f t="shared" si="20"/>
        <v>2.7232480293704802</v>
      </c>
      <c r="O39" s="3">
        <f t="shared" si="21"/>
        <v>8.8632516364488083</v>
      </c>
      <c r="P39" s="3">
        <f t="shared" si="22"/>
        <v>0.30725157550210203</v>
      </c>
      <c r="Q39" s="344">
        <f t="shared" si="23"/>
        <v>171.70067290225273</v>
      </c>
      <c r="R39" s="345">
        <f t="shared" si="24"/>
        <v>171.70067290225273</v>
      </c>
      <c r="S39" s="347">
        <f t="shared" si="25"/>
        <v>746.2009348365857</v>
      </c>
      <c r="T39" s="347">
        <f t="shared" si="26"/>
        <v>746.2009348365857</v>
      </c>
    </row>
    <row r="40" spans="1:20" ht="16.2">
      <c r="A40" s="2249"/>
      <c r="B40" s="18" t="s">
        <v>18</v>
      </c>
      <c r="C40" s="175"/>
      <c r="D40" s="36">
        <f>D25*Inflation!$D$3</f>
        <v>646.14406802923065</v>
      </c>
      <c r="E40" s="36">
        <f>E25*Inflation!$D$3</f>
        <v>658.02144835582283</v>
      </c>
      <c r="F40" s="36">
        <f>F25*Inflation!$D$3</f>
        <v>673.69407003586491</v>
      </c>
      <c r="G40" s="36">
        <f>G25*Inflation!$D$3</f>
        <v>673.69407003586491</v>
      </c>
      <c r="H40" s="38">
        <f t="shared" si="18"/>
        <v>27.550002006634259</v>
      </c>
      <c r="I40" s="38">
        <f t="shared" si="19"/>
        <v>15.672621680042084</v>
      </c>
      <c r="J40" s="2250"/>
      <c r="K40" s="342">
        <v>0.05</v>
      </c>
      <c r="L40" s="343">
        <v>12</v>
      </c>
      <c r="M40" s="343">
        <v>3</v>
      </c>
      <c r="N40" s="416">
        <f t="shared" si="20"/>
        <v>2.7232480293704802</v>
      </c>
      <c r="O40" s="3">
        <f t="shared" si="21"/>
        <v>8.8632516364488083</v>
      </c>
      <c r="P40" s="3">
        <f t="shared" si="22"/>
        <v>0.30725157550210203</v>
      </c>
      <c r="Q40" s="344">
        <f t="shared" si="23"/>
        <v>198.5287829033185</v>
      </c>
      <c r="R40" s="345">
        <f t="shared" si="24"/>
        <v>202.17812672150163</v>
      </c>
      <c r="S40" s="347">
        <f t="shared" si="25"/>
        <v>872.22285293918344</v>
      </c>
      <c r="T40" s="347">
        <f t="shared" si="26"/>
        <v>875.87219675736651</v>
      </c>
    </row>
    <row r="41" spans="1:20" ht="16.2">
      <c r="A41" s="2249"/>
      <c r="B41" s="18" t="s">
        <v>19</v>
      </c>
      <c r="C41" s="175"/>
      <c r="D41" s="36">
        <f>D26*Inflation!$D$3</f>
        <v>708.14019809268814</v>
      </c>
      <c r="E41" s="36">
        <f>E26*Inflation!$D$3</f>
        <v>720.01757841928031</v>
      </c>
      <c r="F41" s="36">
        <f>F26*Inflation!$D$3</f>
        <v>748.61127179811331</v>
      </c>
      <c r="G41" s="36">
        <f>G26*Inflation!$D$3</f>
        <v>760.48865212470537</v>
      </c>
      <c r="H41" s="38">
        <f t="shared" si="18"/>
        <v>40.471073705425169</v>
      </c>
      <c r="I41" s="38">
        <f t="shared" si="19"/>
        <v>40.471073705425056</v>
      </c>
      <c r="J41" s="2250"/>
      <c r="K41" s="342">
        <v>0.05</v>
      </c>
      <c r="L41" s="343">
        <v>12</v>
      </c>
      <c r="M41" s="343">
        <v>3</v>
      </c>
      <c r="N41" s="416">
        <f t="shared" si="20"/>
        <v>2.7232480293704802</v>
      </c>
      <c r="O41" s="3">
        <f t="shared" si="21"/>
        <v>8.8632516364488083</v>
      </c>
      <c r="P41" s="3">
        <f t="shared" si="22"/>
        <v>0.30725157550210203</v>
      </c>
      <c r="Q41" s="344">
        <f t="shared" si="23"/>
        <v>217.57719154034905</v>
      </c>
      <c r="R41" s="345">
        <f t="shared" si="24"/>
        <v>221.22653535853217</v>
      </c>
      <c r="S41" s="347">
        <f t="shared" si="25"/>
        <v>966.18846333846238</v>
      </c>
      <c r="T41" s="347">
        <f t="shared" si="26"/>
        <v>981.71518748323751</v>
      </c>
    </row>
    <row r="42" spans="1:20" ht="16.2">
      <c r="A42" s="2249" t="s">
        <v>20</v>
      </c>
      <c r="B42" s="18" t="s">
        <v>21</v>
      </c>
      <c r="C42" s="175"/>
      <c r="D42" s="36" t="s">
        <v>22</v>
      </c>
      <c r="E42" s="36">
        <f>E27*Inflation!$D$3</f>
        <v>245.87764485535527</v>
      </c>
      <c r="F42" s="36" t="s">
        <v>22</v>
      </c>
      <c r="G42" s="36">
        <f>G27*Inflation!$D$3</f>
        <v>261.55026653539727</v>
      </c>
      <c r="H42" s="38" t="s">
        <v>22</v>
      </c>
      <c r="I42" s="38">
        <f t="shared" si="19"/>
        <v>15.672621680041999</v>
      </c>
      <c r="J42" s="2250"/>
      <c r="K42" s="342">
        <v>0.05</v>
      </c>
      <c r="L42" s="343">
        <v>12</v>
      </c>
      <c r="M42" s="343">
        <v>3</v>
      </c>
      <c r="N42" s="416">
        <f t="shared" si="20"/>
        <v>2.7232480293704802</v>
      </c>
      <c r="O42" s="3">
        <f t="shared" si="21"/>
        <v>8.8632516364488083</v>
      </c>
      <c r="P42" s="3">
        <f t="shared" si="22"/>
        <v>0.30725157550210203</v>
      </c>
      <c r="Q42" s="344" t="s">
        <v>22</v>
      </c>
      <c r="R42" s="345">
        <f t="shared" si="24"/>
        <v>75.546293762554214</v>
      </c>
      <c r="S42" s="347" t="s">
        <v>22</v>
      </c>
      <c r="T42" s="347">
        <f t="shared" si="26"/>
        <v>337.0965602979515</v>
      </c>
    </row>
    <row r="43" spans="1:20" ht="18.75" customHeight="1">
      <c r="A43" s="2249"/>
      <c r="B43" s="18" t="s">
        <v>23</v>
      </c>
      <c r="C43" s="175"/>
      <c r="D43" s="36" t="s">
        <v>22</v>
      </c>
      <c r="E43" s="36">
        <f>E28*Inflation!$D$3</f>
        <v>476.04609461929704</v>
      </c>
      <c r="F43" s="36" t="s">
        <v>22</v>
      </c>
      <c r="G43" s="36">
        <f>G28*Inflation!$D$3</f>
        <v>491.71871629933906</v>
      </c>
      <c r="H43" s="38" t="s">
        <v>22</v>
      </c>
      <c r="I43" s="38">
        <f t="shared" si="19"/>
        <v>15.672621680042027</v>
      </c>
      <c r="J43" s="2250"/>
      <c r="K43" s="342">
        <v>0.05</v>
      </c>
      <c r="L43" s="343">
        <v>12</v>
      </c>
      <c r="M43" s="343">
        <v>3</v>
      </c>
      <c r="N43" s="416">
        <f t="shared" si="20"/>
        <v>2.7232480293704802</v>
      </c>
      <c r="O43" s="3">
        <f t="shared" si="21"/>
        <v>8.8632516364488083</v>
      </c>
      <c r="P43" s="3">
        <f t="shared" si="22"/>
        <v>0.30725157550210203</v>
      </c>
      <c r="Q43" s="344" t="s">
        <v>22</v>
      </c>
      <c r="R43" s="345">
        <f t="shared" si="24"/>
        <v>146.26591258340176</v>
      </c>
      <c r="S43" s="347" t="s">
        <v>22</v>
      </c>
      <c r="T43" s="347">
        <f t="shared" si="26"/>
        <v>637.98462888274082</v>
      </c>
    </row>
    <row r="44" spans="1:20" ht="16.2">
      <c r="A44" s="2249"/>
      <c r="B44" s="18" t="s">
        <v>24</v>
      </c>
      <c r="C44" s="175"/>
      <c r="D44" s="36">
        <f>D29*Inflation!$D$3</f>
        <v>260.72437026359546</v>
      </c>
      <c r="E44" s="36" t="s">
        <v>22</v>
      </c>
      <c r="F44" s="36">
        <f>F29*Inflation!$D$3</f>
        <v>279.36633702528547</v>
      </c>
      <c r="G44" s="36" t="s">
        <v>22</v>
      </c>
      <c r="H44" s="38">
        <f>F44-D44</f>
        <v>18.641966761690014</v>
      </c>
      <c r="I44" s="38" t="s">
        <v>22</v>
      </c>
      <c r="J44" s="2250"/>
      <c r="K44" s="342">
        <v>0.05</v>
      </c>
      <c r="L44" s="343">
        <v>12</v>
      </c>
      <c r="M44" s="343">
        <v>3</v>
      </c>
      <c r="N44" s="416">
        <f t="shared" si="20"/>
        <v>2.7232480293704802</v>
      </c>
      <c r="O44" s="3">
        <f t="shared" si="21"/>
        <v>8.8632516364488083</v>
      </c>
      <c r="P44" s="3">
        <f t="shared" si="22"/>
        <v>0.30725157550210203</v>
      </c>
      <c r="Q44" s="344">
        <f t="shared" ref="Q44:Q45" si="27">D44*P44</f>
        <v>80.107973535283108</v>
      </c>
      <c r="R44" s="346" t="s">
        <v>22</v>
      </c>
      <c r="S44" s="347">
        <f t="shared" ref="S44:S45" si="28">Q44+F44</f>
        <v>359.4743105605686</v>
      </c>
      <c r="T44" s="347" t="s">
        <v>22</v>
      </c>
    </row>
    <row r="45" spans="1:20" ht="16.2">
      <c r="A45" s="2249"/>
      <c r="B45" s="18" t="s">
        <v>25</v>
      </c>
      <c r="C45" s="175"/>
      <c r="D45" s="36">
        <f>D30*Inflation!$D$3</f>
        <v>617.85442523610027</v>
      </c>
      <c r="E45" s="36" t="s">
        <v>22</v>
      </c>
      <c r="F45" s="36">
        <f>F30*Inflation!$D$3</f>
        <v>633.52704691614235</v>
      </c>
      <c r="G45" s="36" t="s">
        <v>22</v>
      </c>
      <c r="H45" s="38">
        <f>F45-D45</f>
        <v>15.672621680042084</v>
      </c>
      <c r="I45" s="38" t="s">
        <v>22</v>
      </c>
      <c r="J45" s="2250"/>
      <c r="K45" s="342">
        <v>0.05</v>
      </c>
      <c r="L45" s="343">
        <v>12</v>
      </c>
      <c r="M45" s="343">
        <v>3</v>
      </c>
      <c r="N45" s="416">
        <f t="shared" si="20"/>
        <v>2.7232480293704802</v>
      </c>
      <c r="O45" s="3">
        <f t="shared" si="21"/>
        <v>8.8632516364488083</v>
      </c>
      <c r="P45" s="3">
        <f t="shared" si="22"/>
        <v>0.30725157550210203</v>
      </c>
      <c r="Q45" s="344">
        <f t="shared" si="27"/>
        <v>189.83674558473751</v>
      </c>
      <c r="R45" s="346" t="s">
        <v>22</v>
      </c>
      <c r="S45" s="347">
        <f t="shared" si="28"/>
        <v>823.36379250087987</v>
      </c>
      <c r="T45" s="347" t="s">
        <v>22</v>
      </c>
    </row>
  </sheetData>
  <mergeCells count="31">
    <mergeCell ref="A4:A10"/>
    <mergeCell ref="A11:A14"/>
    <mergeCell ref="A3:B3"/>
    <mergeCell ref="A2:D2"/>
    <mergeCell ref="V18:W19"/>
    <mergeCell ref="A17:G17"/>
    <mergeCell ref="H17:T17"/>
    <mergeCell ref="D18:E18"/>
    <mergeCell ref="Z18:Z19"/>
    <mergeCell ref="AA18:AA19"/>
    <mergeCell ref="V20:V26"/>
    <mergeCell ref="V27:V30"/>
    <mergeCell ref="F18:G18"/>
    <mergeCell ref="J20:J30"/>
    <mergeCell ref="J18:T18"/>
    <mergeCell ref="A27:A30"/>
    <mergeCell ref="X17:Y17"/>
    <mergeCell ref="Z17:AA17"/>
    <mergeCell ref="J33:T33"/>
    <mergeCell ref="J35:J45"/>
    <mergeCell ref="A32:T32"/>
    <mergeCell ref="A35:A41"/>
    <mergeCell ref="A42:A45"/>
    <mergeCell ref="A33:B34"/>
    <mergeCell ref="D33:E33"/>
    <mergeCell ref="F33:G33"/>
    <mergeCell ref="H33:I33"/>
    <mergeCell ref="V17:W17"/>
    <mergeCell ref="H18:I18"/>
    <mergeCell ref="A18:B19"/>
    <mergeCell ref="A20:A26"/>
  </mergeCells>
  <hyperlinks>
    <hyperlink ref="V32" location="'Master Summary'!A1" display="Return To Master Summary"/>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17"/>
  <sheetViews>
    <sheetView workbookViewId="0">
      <selection sqref="A1:D1"/>
    </sheetView>
  </sheetViews>
  <sheetFormatPr defaultRowHeight="14.4"/>
  <cols>
    <col min="1" max="1" width="14.109375" style="75" customWidth="1"/>
    <col min="2" max="2" width="22.33203125" customWidth="1"/>
    <col min="3" max="3" width="20.6640625" customWidth="1"/>
    <col min="4" max="4" width="23.5546875" customWidth="1"/>
    <col min="5" max="5" width="38.88671875" customWidth="1"/>
    <col min="6" max="6" width="21" customWidth="1"/>
    <col min="7" max="7" width="23.5546875" customWidth="1"/>
    <col min="8" max="8" width="20.44140625" customWidth="1"/>
    <col min="9" max="9" width="19" customWidth="1"/>
  </cols>
  <sheetData>
    <row r="1" spans="1:6">
      <c r="A1" s="2262" t="s">
        <v>260</v>
      </c>
      <c r="B1" s="2263"/>
      <c r="C1" s="2263"/>
      <c r="D1" s="2264"/>
      <c r="F1" s="90"/>
    </row>
    <row r="2" spans="1:6">
      <c r="A2" s="88" t="s">
        <v>308</v>
      </c>
      <c r="B2" s="87" t="s">
        <v>307</v>
      </c>
      <c r="C2" s="87" t="s">
        <v>116</v>
      </c>
      <c r="D2" s="87" t="s">
        <v>143</v>
      </c>
    </row>
    <row r="3" spans="1:6">
      <c r="A3" s="89" t="s">
        <v>513</v>
      </c>
      <c r="B3" s="89">
        <v>1.9E-2</v>
      </c>
      <c r="C3" s="89">
        <v>4</v>
      </c>
      <c r="D3" s="89">
        <f>(1+$B$3)^$C$3</f>
        <v>1.0781935663209998</v>
      </c>
      <c r="E3" t="s">
        <v>514</v>
      </c>
    </row>
    <row r="4" spans="1:6" s="95" customFormat="1">
      <c r="A4" s="89" t="s">
        <v>540</v>
      </c>
      <c r="B4" s="89">
        <v>1.9E-2</v>
      </c>
      <c r="C4" s="89">
        <v>1</v>
      </c>
      <c r="D4" s="89">
        <f>(1+$B$4)^$C$4</f>
        <v>1.0189999999999999</v>
      </c>
    </row>
    <row r="5" spans="1:6" s="95" customFormat="1">
      <c r="A5" s="89" t="s">
        <v>550</v>
      </c>
      <c r="B5" s="89">
        <v>1.9E-2</v>
      </c>
      <c r="C5" s="89">
        <v>2</v>
      </c>
      <c r="D5" s="89">
        <f>(1+$B$5)^$C$5</f>
        <v>1.0383609999999999</v>
      </c>
    </row>
    <row r="6" spans="1:6" s="95" customFormat="1">
      <c r="A6" s="89" t="s">
        <v>551</v>
      </c>
      <c r="B6" s="89">
        <v>1.9E-2</v>
      </c>
      <c r="C6" s="89">
        <v>3</v>
      </c>
      <c r="D6" s="89">
        <f>(1+$B$6)^$C$6</f>
        <v>1.0580898589999999</v>
      </c>
    </row>
    <row r="7" spans="1:6">
      <c r="A7" s="4" t="s">
        <v>634</v>
      </c>
    </row>
    <row r="17" spans="16:24">
      <c r="P17" s="193"/>
      <c r="Q17" s="203"/>
      <c r="R17" s="203"/>
      <c r="S17" s="203"/>
      <c r="T17" s="203"/>
      <c r="U17" s="203"/>
      <c r="V17" s="203"/>
      <c r="W17" s="203"/>
      <c r="X17" s="204"/>
    </row>
  </sheetData>
  <mergeCells count="1">
    <mergeCell ref="A1:D1"/>
  </mergeCells>
  <hyperlinks>
    <hyperlink ref="A7" location="'Master Summary'!A1" display="Return To Master Summary"/>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45"/>
  <sheetViews>
    <sheetView workbookViewId="0"/>
  </sheetViews>
  <sheetFormatPr defaultRowHeight="14.4"/>
  <cols>
    <col min="1" max="1" width="36.109375" customWidth="1"/>
    <col min="2" max="2" width="16.5546875" style="95" customWidth="1"/>
    <col min="3" max="3" width="33.109375" style="95" customWidth="1"/>
    <col min="4" max="4" width="14.33203125" customWidth="1"/>
    <col min="5" max="5" width="17.44140625" customWidth="1"/>
    <col min="6" max="6" width="26.5546875" customWidth="1"/>
    <col min="7" max="7" width="12.109375" customWidth="1"/>
    <col min="8" max="8" width="13.5546875" customWidth="1"/>
    <col min="9" max="9" width="13.6640625" customWidth="1"/>
    <col min="10" max="10" width="27.5546875" bestFit="1" customWidth="1"/>
    <col min="11" max="11" width="12.88671875" customWidth="1"/>
    <col min="13" max="13" width="28.6640625" bestFit="1" customWidth="1"/>
    <col min="15" max="15" width="3.109375" customWidth="1"/>
    <col min="16" max="16" width="14.6640625" bestFit="1" customWidth="1"/>
    <col min="17" max="17" width="9.6640625" customWidth="1"/>
  </cols>
  <sheetData>
    <row r="1" spans="1:18">
      <c r="E1" s="95"/>
      <c r="F1" s="95"/>
      <c r="G1" s="95"/>
      <c r="H1" s="95"/>
      <c r="I1" s="95"/>
      <c r="J1" s="95"/>
      <c r="K1" s="95"/>
      <c r="L1" s="95"/>
      <c r="M1" s="95"/>
      <c r="N1" s="95"/>
      <c r="O1" s="95"/>
      <c r="P1" s="95"/>
      <c r="Q1" s="95"/>
      <c r="R1" s="95"/>
    </row>
    <row r="2" spans="1:18" ht="15.6">
      <c r="E2" s="164" t="s">
        <v>489</v>
      </c>
      <c r="F2" s="153"/>
      <c r="G2" s="153"/>
      <c r="H2" s="153"/>
      <c r="I2" s="153"/>
      <c r="J2" s="153"/>
      <c r="K2" s="153"/>
      <c r="L2" s="95"/>
      <c r="M2" s="95"/>
      <c r="N2" s="95"/>
      <c r="O2" s="95"/>
      <c r="P2" s="95"/>
      <c r="Q2" s="95"/>
      <c r="R2" s="95"/>
    </row>
    <row r="3" spans="1:18" ht="51.75" customHeight="1">
      <c r="A3" s="2266" t="s">
        <v>517</v>
      </c>
      <c r="B3" s="2266"/>
      <c r="C3" s="173" t="s">
        <v>511</v>
      </c>
      <c r="E3" s="154" t="s">
        <v>490</v>
      </c>
      <c r="F3" s="154" t="s">
        <v>491</v>
      </c>
      <c r="G3" s="154" t="s">
        <v>471</v>
      </c>
      <c r="H3" s="154" t="s">
        <v>472</v>
      </c>
      <c r="I3" s="155" t="s">
        <v>473</v>
      </c>
      <c r="J3" s="155" t="s">
        <v>474</v>
      </c>
      <c r="K3" s="155" t="s">
        <v>475</v>
      </c>
      <c r="L3" s="95"/>
      <c r="M3" s="156" t="s">
        <v>476</v>
      </c>
      <c r="N3" s="157"/>
      <c r="O3" s="95"/>
      <c r="P3" s="2265" t="s">
        <v>603</v>
      </c>
      <c r="Q3" s="2265"/>
      <c r="R3" s="95"/>
    </row>
    <row r="4" spans="1:18" ht="43.2">
      <c r="A4" s="170" t="s">
        <v>515</v>
      </c>
      <c r="B4" s="170">
        <f>N15</f>
        <v>0.82009857825286148</v>
      </c>
      <c r="C4" s="172" t="s">
        <v>552</v>
      </c>
      <c r="E4" s="165">
        <v>1</v>
      </c>
      <c r="F4" s="166" t="s">
        <v>492</v>
      </c>
      <c r="G4" s="158">
        <v>0.94</v>
      </c>
      <c r="H4" s="158">
        <v>1.0169999999999999</v>
      </c>
      <c r="I4" s="159">
        <v>3.2678012053238359E-3</v>
      </c>
      <c r="J4" s="159">
        <f>G4*I4</f>
        <v>3.0717331330044058E-3</v>
      </c>
      <c r="K4" s="159">
        <f>H4*I4</f>
        <v>3.3233538258143408E-3</v>
      </c>
      <c r="L4" s="95"/>
      <c r="M4" s="160" t="s">
        <v>477</v>
      </c>
      <c r="N4" s="160">
        <v>0.82299999999999995</v>
      </c>
      <c r="O4" s="95"/>
      <c r="P4" s="160" t="s">
        <v>477</v>
      </c>
      <c r="Q4" s="181">
        <v>38394</v>
      </c>
      <c r="R4" s="95"/>
    </row>
    <row r="5" spans="1:18" ht="28.8">
      <c r="A5" s="170" t="s">
        <v>510</v>
      </c>
      <c r="B5" s="170">
        <f>1/K20*B4</f>
        <v>0.70817503367116896</v>
      </c>
      <c r="C5" s="171" t="s">
        <v>553</v>
      </c>
      <c r="E5" s="167">
        <v>2</v>
      </c>
      <c r="F5" s="166" t="s">
        <v>493</v>
      </c>
      <c r="G5" s="158">
        <v>0.94</v>
      </c>
      <c r="H5" s="158">
        <v>1.653</v>
      </c>
      <c r="I5" s="159">
        <v>9.6951641438708762E-3</v>
      </c>
      <c r="J5" s="159">
        <f t="shared" ref="J5:J19" si="0">G5*I5</f>
        <v>9.1134542952386235E-3</v>
      </c>
      <c r="K5" s="159">
        <f t="shared" ref="K5:K19" si="1">H5*I5</f>
        <v>1.602610632981856E-2</v>
      </c>
      <c r="L5" s="95"/>
      <c r="M5" s="24" t="s">
        <v>478</v>
      </c>
      <c r="N5" s="24">
        <v>0.82399999999999995</v>
      </c>
      <c r="O5" s="95"/>
      <c r="P5" s="24" t="s">
        <v>478</v>
      </c>
      <c r="Q5" s="181">
        <v>620961</v>
      </c>
      <c r="R5" s="95"/>
    </row>
    <row r="6" spans="1:18">
      <c r="C6" s="24"/>
      <c r="E6" s="167">
        <v>3</v>
      </c>
      <c r="F6" s="166" t="s">
        <v>494</v>
      </c>
      <c r="G6" s="158">
        <v>1.0009999999999999</v>
      </c>
      <c r="H6" s="158">
        <v>1.673</v>
      </c>
      <c r="I6" s="159">
        <v>3.0273549494431465E-2</v>
      </c>
      <c r="J6" s="159">
        <f t="shared" si="0"/>
        <v>3.0303823043925891E-2</v>
      </c>
      <c r="K6" s="159">
        <f t="shared" si="1"/>
        <v>5.0647648304183841E-2</v>
      </c>
      <c r="L6" s="95"/>
      <c r="M6" s="24" t="s">
        <v>479</v>
      </c>
      <c r="N6" s="24">
        <v>0.87</v>
      </c>
      <c r="O6" s="95"/>
      <c r="P6" s="24" t="s">
        <v>479</v>
      </c>
      <c r="Q6" s="181">
        <v>30413</v>
      </c>
      <c r="R6" s="95"/>
    </row>
    <row r="7" spans="1:18">
      <c r="E7" s="167">
        <v>4</v>
      </c>
      <c r="F7" s="166" t="s">
        <v>495</v>
      </c>
      <c r="G7" s="158">
        <v>1</v>
      </c>
      <c r="H7" s="158">
        <v>1.448</v>
      </c>
      <c r="I7" s="159">
        <v>1.528624830392613E-2</v>
      </c>
      <c r="J7" s="159">
        <f t="shared" si="0"/>
        <v>1.528624830392613E-2</v>
      </c>
      <c r="K7" s="159">
        <f t="shared" si="1"/>
        <v>2.2134487544085035E-2</v>
      </c>
      <c r="L7" s="95"/>
      <c r="M7" s="24" t="s">
        <v>480</v>
      </c>
      <c r="N7" s="24">
        <v>0.72799999999999998</v>
      </c>
      <c r="O7" s="95"/>
      <c r="P7" s="24" t="s">
        <v>480</v>
      </c>
      <c r="Q7" s="181">
        <v>20859</v>
      </c>
      <c r="R7" s="95"/>
    </row>
    <row r="8" spans="1:18" ht="17.25" customHeight="1">
      <c r="A8" s="2266" t="s">
        <v>533</v>
      </c>
      <c r="B8" s="2266"/>
      <c r="C8" s="173" t="s">
        <v>511</v>
      </c>
      <c r="E8" s="167">
        <v>5</v>
      </c>
      <c r="F8" s="166" t="s">
        <v>496</v>
      </c>
      <c r="G8" s="158">
        <v>0.94</v>
      </c>
      <c r="H8" s="158">
        <v>1.0549999999999999</v>
      </c>
      <c r="I8" s="159">
        <v>4.3295788840252714E-4</v>
      </c>
      <c r="J8" s="159">
        <f t="shared" si="0"/>
        <v>4.0698041509837547E-4</v>
      </c>
      <c r="K8" s="159">
        <f t="shared" si="1"/>
        <v>4.5677057226466611E-4</v>
      </c>
      <c r="L8" s="95"/>
      <c r="M8" s="24" t="s">
        <v>481</v>
      </c>
      <c r="N8" s="24">
        <v>0.69299999999999995</v>
      </c>
      <c r="O8" s="95"/>
      <c r="P8" s="24" t="s">
        <v>481</v>
      </c>
      <c r="Q8" s="181">
        <v>15945</v>
      </c>
      <c r="R8" s="95"/>
    </row>
    <row r="9" spans="1:18" ht="43.2">
      <c r="A9" s="170" t="s">
        <v>515</v>
      </c>
      <c r="B9" s="170">
        <f>N15</f>
        <v>0.82009857825286148</v>
      </c>
      <c r="C9" s="172" t="s">
        <v>554</v>
      </c>
      <c r="E9" s="167">
        <v>6</v>
      </c>
      <c r="F9" s="166" t="s">
        <v>497</v>
      </c>
      <c r="G9" s="158">
        <v>1</v>
      </c>
      <c r="H9" s="158">
        <v>1.167</v>
      </c>
      <c r="I9" s="159">
        <v>0.13910447299618456</v>
      </c>
      <c r="J9" s="159">
        <f t="shared" si="0"/>
        <v>0.13910447299618456</v>
      </c>
      <c r="K9" s="159">
        <f t="shared" si="1"/>
        <v>0.16233491998654739</v>
      </c>
      <c r="L9" s="95"/>
      <c r="M9" s="24" t="s">
        <v>482</v>
      </c>
      <c r="N9" s="24">
        <v>0.81899999999999995</v>
      </c>
      <c r="O9" s="95"/>
      <c r="P9" s="24" t="s">
        <v>482</v>
      </c>
      <c r="Q9" s="181">
        <v>15443</v>
      </c>
      <c r="R9" s="95"/>
    </row>
    <row r="10" spans="1:18" ht="28.8">
      <c r="A10" s="170" t="s">
        <v>510</v>
      </c>
      <c r="B10" s="170">
        <f>1/K42*B9</f>
        <v>0.7374262098986285</v>
      </c>
      <c r="C10" s="171" t="s">
        <v>512</v>
      </c>
      <c r="E10" s="167">
        <v>7</v>
      </c>
      <c r="F10" s="166" t="s">
        <v>498</v>
      </c>
      <c r="G10" s="158">
        <v>1</v>
      </c>
      <c r="H10" s="158">
        <v>1.1519999999999999</v>
      </c>
      <c r="I10" s="159">
        <v>4.6714352167431E-2</v>
      </c>
      <c r="J10" s="159">
        <f t="shared" si="0"/>
        <v>4.6714352167431E-2</v>
      </c>
      <c r="K10" s="159">
        <f t="shared" si="1"/>
        <v>5.3814933696880507E-2</v>
      </c>
      <c r="L10" s="95"/>
      <c r="M10" s="24" t="s">
        <v>483</v>
      </c>
      <c r="N10" s="24">
        <v>0.83399999999999996</v>
      </c>
      <c r="O10" s="95"/>
      <c r="P10" s="24" t="s">
        <v>483</v>
      </c>
      <c r="Q10" s="181">
        <v>39662</v>
      </c>
      <c r="R10" s="95"/>
    </row>
    <row r="11" spans="1:18">
      <c r="E11" s="167">
        <v>8</v>
      </c>
      <c r="F11" s="166" t="s">
        <v>499</v>
      </c>
      <c r="G11" s="158">
        <v>0.94</v>
      </c>
      <c r="H11" s="158">
        <v>1.0549999999999999</v>
      </c>
      <c r="I11" s="159">
        <v>0.16224194872283865</v>
      </c>
      <c r="J11" s="159">
        <f t="shared" si="0"/>
        <v>0.15250743179946832</v>
      </c>
      <c r="K11" s="159">
        <f t="shared" si="1"/>
        <v>0.17116525590259477</v>
      </c>
      <c r="L11" s="95"/>
      <c r="M11" s="24" t="s">
        <v>484</v>
      </c>
      <c r="N11" s="24">
        <v>0.63200000000000001</v>
      </c>
      <c r="O11" s="95"/>
      <c r="P11" s="24" t="s">
        <v>484</v>
      </c>
      <c r="Q11" s="181">
        <v>30343</v>
      </c>
      <c r="R11" s="95"/>
    </row>
    <row r="12" spans="1:18">
      <c r="A12" s="4" t="s">
        <v>634</v>
      </c>
      <c r="B12" s="95">
        <f>55.56*B5*Inflation!D3</f>
        <v>42.422824950812362</v>
      </c>
      <c r="E12" s="167">
        <v>9</v>
      </c>
      <c r="F12" s="166" t="s">
        <v>500</v>
      </c>
      <c r="G12" s="158">
        <v>1.0009999999999999</v>
      </c>
      <c r="H12" s="158">
        <v>1.167</v>
      </c>
      <c r="I12" s="159">
        <v>0.2181038248479171</v>
      </c>
      <c r="J12" s="159">
        <f t="shared" si="0"/>
        <v>0.21832192867276498</v>
      </c>
      <c r="K12" s="159">
        <f t="shared" si="1"/>
        <v>0.25452716359751926</v>
      </c>
      <c r="L12" s="95"/>
      <c r="M12" s="24" t="s">
        <v>485</v>
      </c>
      <c r="N12" s="24">
        <v>0.85699999999999998</v>
      </c>
      <c r="O12" s="95"/>
      <c r="P12" s="24" t="s">
        <v>485</v>
      </c>
      <c r="Q12" s="181">
        <v>71452</v>
      </c>
      <c r="R12" s="95"/>
    </row>
    <row r="13" spans="1:18">
      <c r="E13" s="167">
        <v>10</v>
      </c>
      <c r="F13" s="166" t="s">
        <v>501</v>
      </c>
      <c r="G13" s="158">
        <v>1</v>
      </c>
      <c r="H13" s="158">
        <v>1.1659999999999999</v>
      </c>
      <c r="I13" s="159">
        <v>0.21277818510753721</v>
      </c>
      <c r="J13" s="159">
        <f t="shared" si="0"/>
        <v>0.21277818510753721</v>
      </c>
      <c r="K13" s="159">
        <f t="shared" si="1"/>
        <v>0.24809936383538836</v>
      </c>
      <c r="L13" s="95"/>
      <c r="M13" s="52" t="s">
        <v>486</v>
      </c>
      <c r="N13" s="52">
        <v>0.85599999999999998</v>
      </c>
      <c r="O13" s="95"/>
      <c r="P13" s="52" t="s">
        <v>486</v>
      </c>
      <c r="Q13" s="182">
        <v>67752</v>
      </c>
      <c r="R13" s="95"/>
    </row>
    <row r="14" spans="1:18" ht="15" thickBot="1">
      <c r="E14" s="167">
        <v>11</v>
      </c>
      <c r="F14" s="166" t="s">
        <v>502</v>
      </c>
      <c r="G14" s="158">
        <v>1</v>
      </c>
      <c r="H14" s="158">
        <v>1.07</v>
      </c>
      <c r="I14" s="159">
        <v>1.0238938634662145E-2</v>
      </c>
      <c r="J14" s="159">
        <f>G14*I14</f>
        <v>1.0238938634662145E-2</v>
      </c>
      <c r="K14" s="159">
        <f t="shared" si="1"/>
        <v>1.0955664339088496E-2</v>
      </c>
      <c r="L14" s="95"/>
      <c r="M14" s="95" t="s">
        <v>487</v>
      </c>
      <c r="N14" s="95">
        <f>AVERAGE(N4:N13)</f>
        <v>0.79359999999999986</v>
      </c>
      <c r="O14" s="95"/>
      <c r="P14" s="95"/>
      <c r="Q14" s="95"/>
      <c r="R14" s="95"/>
    </row>
    <row r="15" spans="1:18" ht="15" thickBot="1">
      <c r="E15" s="167">
        <v>12</v>
      </c>
      <c r="F15" s="166" t="s">
        <v>503</v>
      </c>
      <c r="G15" s="158">
        <v>1</v>
      </c>
      <c r="H15" s="158">
        <v>1.198</v>
      </c>
      <c r="I15" s="159">
        <v>3.6051475600374715E-2</v>
      </c>
      <c r="J15" s="159">
        <f t="shared" si="0"/>
        <v>3.6051475600374715E-2</v>
      </c>
      <c r="K15" s="159">
        <f t="shared" si="1"/>
        <v>4.3189667769248909E-2</v>
      </c>
      <c r="L15" s="95"/>
      <c r="M15" s="162" t="s">
        <v>488</v>
      </c>
      <c r="N15" s="163">
        <f>SUMPRODUCT(N4:N13,Q4:Q13)/SUM(Q4:Q13)</f>
        <v>0.82009857825286148</v>
      </c>
      <c r="O15" s="95"/>
      <c r="P15" s="95"/>
      <c r="Q15" s="95"/>
      <c r="R15" s="95"/>
    </row>
    <row r="16" spans="1:18">
      <c r="E16" s="167">
        <v>13</v>
      </c>
      <c r="F16" s="166" t="s">
        <v>504</v>
      </c>
      <c r="G16" s="158">
        <v>1.0009999999999999</v>
      </c>
      <c r="H16" s="158">
        <v>1.113</v>
      </c>
      <c r="I16" s="159">
        <v>2.1692994200168285E-2</v>
      </c>
      <c r="J16" s="159">
        <f t="shared" si="0"/>
        <v>2.1714687194368452E-2</v>
      </c>
      <c r="K16" s="159">
        <f t="shared" si="1"/>
        <v>2.4144302544787302E-2</v>
      </c>
      <c r="L16" s="95"/>
      <c r="M16" s="95"/>
      <c r="N16" s="95"/>
      <c r="O16" s="95"/>
      <c r="P16" s="95"/>
      <c r="Q16" s="95"/>
      <c r="R16" s="95"/>
    </row>
    <row r="17" spans="1:24">
      <c r="E17" s="167">
        <v>14</v>
      </c>
      <c r="F17" s="166" t="s">
        <v>505</v>
      </c>
      <c r="G17" s="158">
        <v>0.94</v>
      </c>
      <c r="H17" s="158">
        <v>0.99199999999999999</v>
      </c>
      <c r="I17" s="159">
        <v>3.4945886706775404E-2</v>
      </c>
      <c r="J17" s="159">
        <f t="shared" si="0"/>
        <v>3.2849133504368876E-2</v>
      </c>
      <c r="K17" s="159">
        <f t="shared" si="1"/>
        <v>3.4666319613121201E-2</v>
      </c>
      <c r="L17" s="95"/>
      <c r="M17" s="95"/>
      <c r="N17" s="95"/>
      <c r="O17" s="95"/>
      <c r="P17" s="95"/>
      <c r="Q17" s="95"/>
      <c r="R17" s="95"/>
    </row>
    <row r="18" spans="1:24">
      <c r="E18" s="167">
        <v>15</v>
      </c>
      <c r="F18" s="166" t="s">
        <v>506</v>
      </c>
      <c r="G18" s="158">
        <v>0.94</v>
      </c>
      <c r="H18" s="158">
        <v>1.054</v>
      </c>
      <c r="I18" s="159">
        <v>4.7198852661595736E-2</v>
      </c>
      <c r="J18" s="159">
        <f t="shared" si="0"/>
        <v>4.436692150189999E-2</v>
      </c>
      <c r="K18" s="159">
        <f t="shared" si="1"/>
        <v>4.9747590705321906E-2</v>
      </c>
      <c r="L18" s="95"/>
      <c r="M18" s="95"/>
      <c r="N18" s="95"/>
      <c r="O18" s="95"/>
      <c r="P18" s="95"/>
      <c r="Q18" s="95"/>
      <c r="R18" s="95"/>
    </row>
    <row r="19" spans="1:24">
      <c r="E19" s="167">
        <v>16</v>
      </c>
      <c r="F19" s="166" t="s">
        <v>507</v>
      </c>
      <c r="G19" s="158">
        <v>0.94</v>
      </c>
      <c r="H19" s="158">
        <v>1.07</v>
      </c>
      <c r="I19" s="159">
        <v>1.1973347318560363E-2</v>
      </c>
      <c r="J19" s="159">
        <f t="shared" si="0"/>
        <v>1.1254946479446741E-2</v>
      </c>
      <c r="K19" s="159">
        <f t="shared" si="1"/>
        <v>1.2811481630859588E-2</v>
      </c>
      <c r="L19" s="95"/>
      <c r="M19" s="95"/>
      <c r="N19" s="95"/>
      <c r="O19" s="95"/>
      <c r="P19" s="193"/>
      <c r="Q19" s="203"/>
      <c r="R19" s="203"/>
      <c r="S19" s="203"/>
      <c r="T19" s="203"/>
      <c r="U19" s="203"/>
      <c r="V19" s="203"/>
      <c r="W19" s="203"/>
      <c r="X19" s="204"/>
    </row>
    <row r="20" spans="1:24">
      <c r="E20" s="158"/>
      <c r="F20" s="166" t="s">
        <v>398</v>
      </c>
      <c r="G20" s="158">
        <f>AVERAGE(G4:G19)</f>
        <v>0.97393749999999979</v>
      </c>
      <c r="H20" s="158">
        <f>AVERAGE(H4:H19)</f>
        <v>1.1906249999999998</v>
      </c>
      <c r="I20" s="159">
        <f>SUM(I4:I19)</f>
        <v>1</v>
      </c>
      <c r="J20" s="159">
        <f>SUM(J4:J19)</f>
        <v>0.98408471284970045</v>
      </c>
      <c r="K20" s="159">
        <f>SUM(K4:K19)</f>
        <v>1.158045030197524</v>
      </c>
      <c r="L20" s="95"/>
      <c r="M20" s="95"/>
      <c r="N20" s="95"/>
      <c r="O20" s="95"/>
      <c r="P20" s="95"/>
      <c r="Q20" s="95"/>
      <c r="R20" s="95"/>
    </row>
    <row r="21" spans="1:24">
      <c r="E21" s="168" t="s">
        <v>508</v>
      </c>
      <c r="F21" s="169"/>
      <c r="G21" s="161"/>
      <c r="H21" s="161"/>
      <c r="I21" s="153"/>
      <c r="J21" s="153"/>
      <c r="K21" s="153"/>
      <c r="L21" s="95"/>
      <c r="M21" s="95"/>
      <c r="N21" s="95"/>
      <c r="O21" s="95"/>
      <c r="P21" s="95"/>
      <c r="Q21" s="95"/>
      <c r="R21" s="95"/>
    </row>
    <row r="22" spans="1:24">
      <c r="E22" s="168" t="s">
        <v>509</v>
      </c>
      <c r="F22" s="169"/>
      <c r="G22" s="161"/>
      <c r="H22" s="161"/>
      <c r="I22" s="153"/>
      <c r="J22" s="153"/>
      <c r="K22" s="153"/>
      <c r="L22" s="95"/>
      <c r="M22" s="95"/>
      <c r="N22" s="95"/>
      <c r="O22" s="95"/>
      <c r="P22" s="95"/>
      <c r="Q22" s="95"/>
      <c r="R22" s="95"/>
    </row>
    <row r="23" spans="1:24">
      <c r="E23" s="95"/>
      <c r="F23" s="95"/>
      <c r="G23" s="95"/>
      <c r="H23" s="95"/>
      <c r="I23" s="95"/>
      <c r="J23" s="95"/>
      <c r="K23" s="95"/>
      <c r="L23" s="95"/>
      <c r="M23" s="95"/>
      <c r="N23" s="95"/>
      <c r="O23" s="95"/>
      <c r="P23" s="95"/>
      <c r="Q23" s="95"/>
      <c r="R23" s="95"/>
    </row>
    <row r="24" spans="1:24" ht="15.6">
      <c r="A24" s="95"/>
      <c r="D24" s="95"/>
      <c r="E24" s="164" t="s">
        <v>530</v>
      </c>
      <c r="F24" s="153"/>
      <c r="G24" s="153"/>
      <c r="H24" s="153"/>
      <c r="I24" s="153"/>
      <c r="J24" s="153"/>
      <c r="K24" s="153"/>
      <c r="L24" s="95"/>
      <c r="M24" s="95"/>
      <c r="N24" s="95"/>
      <c r="O24" s="95"/>
    </row>
    <row r="25" spans="1:24" ht="27.6">
      <c r="E25" s="155" t="s">
        <v>490</v>
      </c>
      <c r="F25" s="155" t="s">
        <v>491</v>
      </c>
      <c r="G25" s="154" t="s">
        <v>471</v>
      </c>
      <c r="H25" s="154" t="s">
        <v>472</v>
      </c>
      <c r="I25" s="155" t="s">
        <v>473</v>
      </c>
      <c r="J25" s="155" t="s">
        <v>474</v>
      </c>
      <c r="K25" s="155" t="s">
        <v>475</v>
      </c>
    </row>
    <row r="26" spans="1:24">
      <c r="E26" s="165">
        <v>1</v>
      </c>
      <c r="F26" s="166" t="s">
        <v>492</v>
      </c>
      <c r="G26" s="158">
        <v>1.002</v>
      </c>
      <c r="H26" s="158">
        <v>1.1459999999999999</v>
      </c>
      <c r="I26" s="159">
        <v>5.4358915030342549E-3</v>
      </c>
      <c r="J26" s="159">
        <f>G26*I26</f>
        <v>5.4467632860403237E-3</v>
      </c>
      <c r="K26" s="159">
        <f t="shared" ref="K26:K41" si="2">H26*I26</f>
        <v>6.2295316624772553E-3</v>
      </c>
    </row>
    <row r="27" spans="1:24">
      <c r="E27" s="167">
        <v>2</v>
      </c>
      <c r="F27" s="166" t="s">
        <v>493</v>
      </c>
      <c r="G27" s="158">
        <v>0.96499999999999997</v>
      </c>
      <c r="H27" s="158">
        <v>1.1870000000000001</v>
      </c>
      <c r="I27" s="159">
        <v>1.3086210704557167E-2</v>
      </c>
      <c r="J27" s="159">
        <f t="shared" ref="J27:J41" si="3">G27*I27</f>
        <v>1.2628193329897666E-2</v>
      </c>
      <c r="K27" s="159">
        <f t="shared" si="2"/>
        <v>1.5533332106309358E-2</v>
      </c>
    </row>
    <row r="28" spans="1:24">
      <c r="E28" s="167">
        <v>3</v>
      </c>
      <c r="F28" s="166" t="s">
        <v>494</v>
      </c>
      <c r="G28" s="158">
        <v>1.0609999999999999</v>
      </c>
      <c r="H28" s="158">
        <v>1.571</v>
      </c>
      <c r="I28" s="159">
        <v>4.8610132413415927E-2</v>
      </c>
      <c r="J28" s="159">
        <f t="shared" si="3"/>
        <v>5.1575350490634296E-2</v>
      </c>
      <c r="K28" s="159">
        <f t="shared" si="2"/>
        <v>7.6366518021476412E-2</v>
      </c>
    </row>
    <row r="29" spans="1:24">
      <c r="E29" s="167">
        <v>4</v>
      </c>
      <c r="F29" s="166" t="s">
        <v>495</v>
      </c>
      <c r="G29" s="158">
        <v>1.0249999999999999</v>
      </c>
      <c r="H29" s="158">
        <v>1.532</v>
      </c>
      <c r="I29" s="159">
        <v>1.9216773067174304E-2</v>
      </c>
      <c r="J29" s="159">
        <f t="shared" si="3"/>
        <v>1.969719239385366E-2</v>
      </c>
      <c r="K29" s="159">
        <f t="shared" si="2"/>
        <v>2.9440096338911034E-2</v>
      </c>
    </row>
    <row r="30" spans="1:24">
      <c r="E30" s="167">
        <v>5</v>
      </c>
      <c r="F30" s="166" t="s">
        <v>496</v>
      </c>
      <c r="G30" s="158">
        <v>0.90400000000000003</v>
      </c>
      <c r="H30" s="158">
        <v>0.96199999999999997</v>
      </c>
      <c r="I30" s="159">
        <v>5.1419316162009234E-3</v>
      </c>
      <c r="J30" s="159">
        <f t="shared" si="3"/>
        <v>4.6483061810456347E-3</v>
      </c>
      <c r="K30" s="159">
        <f t="shared" si="2"/>
        <v>4.946538214785288E-3</v>
      </c>
    </row>
    <row r="31" spans="1:24">
      <c r="E31" s="167">
        <v>6</v>
      </c>
      <c r="F31" s="166" t="s">
        <v>497</v>
      </c>
      <c r="G31" s="158">
        <v>0.89400000000000002</v>
      </c>
      <c r="H31" s="158">
        <v>1.097</v>
      </c>
      <c r="I31" s="159">
        <v>0.13380906805776127</v>
      </c>
      <c r="J31" s="159">
        <f t="shared" si="3"/>
        <v>0.11962530684363858</v>
      </c>
      <c r="K31" s="159">
        <f t="shared" si="2"/>
        <v>0.14678854765936411</v>
      </c>
    </row>
    <row r="32" spans="1:24">
      <c r="E32" s="167">
        <v>7</v>
      </c>
      <c r="F32" s="166" t="s">
        <v>498</v>
      </c>
      <c r="G32" s="158">
        <v>0.99199999999999999</v>
      </c>
      <c r="H32" s="158">
        <v>0.99099999999999999</v>
      </c>
      <c r="I32" s="159">
        <v>3.3253226196611307E-2</v>
      </c>
      <c r="J32" s="159">
        <f t="shared" si="3"/>
        <v>3.2987200387038416E-2</v>
      </c>
      <c r="K32" s="159">
        <f t="shared" si="2"/>
        <v>3.2953947160841802E-2</v>
      </c>
    </row>
    <row r="33" spans="5:11">
      <c r="E33" s="167">
        <v>8</v>
      </c>
      <c r="F33" s="166" t="s">
        <v>499</v>
      </c>
      <c r="G33" s="158">
        <v>0.96199999999999997</v>
      </c>
      <c r="H33" s="158">
        <v>1.03</v>
      </c>
      <c r="I33" s="159">
        <v>0.19238701738517686</v>
      </c>
      <c r="J33" s="159">
        <f t="shared" si="3"/>
        <v>0.18507631072454012</v>
      </c>
      <c r="K33" s="159">
        <f t="shared" si="2"/>
        <v>0.19815862790673217</v>
      </c>
    </row>
    <row r="34" spans="5:11">
      <c r="E34" s="167">
        <v>9</v>
      </c>
      <c r="F34" s="166" t="s">
        <v>500</v>
      </c>
      <c r="G34" s="158">
        <v>0.998</v>
      </c>
      <c r="H34" s="158">
        <v>1.208</v>
      </c>
      <c r="I34" s="159">
        <v>0.16605157707638751</v>
      </c>
      <c r="J34" s="159">
        <f t="shared" si="3"/>
        <v>0.16571947392223474</v>
      </c>
      <c r="K34" s="159">
        <f t="shared" si="2"/>
        <v>0.20059030510827611</v>
      </c>
    </row>
    <row r="35" spans="5:11">
      <c r="E35" s="167">
        <v>10</v>
      </c>
      <c r="F35" s="166" t="s">
        <v>501</v>
      </c>
      <c r="G35" s="158">
        <v>0.92500000000000004</v>
      </c>
      <c r="H35" s="158">
        <v>1.0649999999999999</v>
      </c>
      <c r="I35" s="159">
        <v>0.19968868648836255</v>
      </c>
      <c r="J35" s="159">
        <f t="shared" si="3"/>
        <v>0.18471203500173536</v>
      </c>
      <c r="K35" s="159">
        <f t="shared" si="2"/>
        <v>0.2126684511101061</v>
      </c>
    </row>
    <row r="36" spans="5:11">
      <c r="E36" s="167">
        <v>11</v>
      </c>
      <c r="F36" s="166" t="s">
        <v>502</v>
      </c>
      <c r="G36" s="158">
        <v>0.997</v>
      </c>
      <c r="H36" s="158">
        <v>1.018</v>
      </c>
      <c r="I36" s="159">
        <v>1.0620418380118004E-2</v>
      </c>
      <c r="J36" s="159">
        <f t="shared" si="3"/>
        <v>1.058855712497765E-2</v>
      </c>
      <c r="K36" s="159">
        <f t="shared" si="2"/>
        <v>1.0811585910960129E-2</v>
      </c>
    </row>
    <row r="37" spans="5:11">
      <c r="E37" s="167">
        <v>12</v>
      </c>
      <c r="F37" s="166" t="s">
        <v>503</v>
      </c>
      <c r="G37" s="158">
        <v>1.012</v>
      </c>
      <c r="H37" s="158">
        <v>1.133</v>
      </c>
      <c r="I37" s="159">
        <v>3.8485081141342643E-2</v>
      </c>
      <c r="J37" s="159">
        <f t="shared" si="3"/>
        <v>3.8946902115038755E-2</v>
      </c>
      <c r="K37" s="159">
        <f t="shared" si="2"/>
        <v>4.3603596933141218E-2</v>
      </c>
    </row>
    <row r="38" spans="5:11">
      <c r="E38" s="167">
        <v>13</v>
      </c>
      <c r="F38" s="166" t="s">
        <v>504</v>
      </c>
      <c r="G38" s="158">
        <v>0.91800000000000004</v>
      </c>
      <c r="H38" s="158">
        <v>1.0149999999999999</v>
      </c>
      <c r="I38" s="159">
        <v>5.5950189838138008E-2</v>
      </c>
      <c r="J38" s="159">
        <f t="shared" si="3"/>
        <v>5.1362274271410692E-2</v>
      </c>
      <c r="K38" s="159">
        <f t="shared" si="2"/>
        <v>5.6789442685710075E-2</v>
      </c>
    </row>
    <row r="39" spans="5:11">
      <c r="E39" s="167">
        <v>14</v>
      </c>
      <c r="F39" s="166" t="s">
        <v>505</v>
      </c>
      <c r="G39" s="158">
        <v>0.90400000000000003</v>
      </c>
      <c r="H39" s="158">
        <v>0.96399999999999997</v>
      </c>
      <c r="I39" s="159">
        <v>4.8091101271547421E-2</v>
      </c>
      <c r="J39" s="159">
        <f t="shared" si="3"/>
        <v>4.3474355549478871E-2</v>
      </c>
      <c r="K39" s="159">
        <f t="shared" si="2"/>
        <v>4.6359821625771715E-2</v>
      </c>
    </row>
    <row r="40" spans="5:11">
      <c r="E40" s="167">
        <v>15</v>
      </c>
      <c r="F40" s="166" t="s">
        <v>506</v>
      </c>
      <c r="G40" s="158">
        <v>0.96199999999999997</v>
      </c>
      <c r="H40" s="158">
        <v>1.024</v>
      </c>
      <c r="I40" s="159">
        <v>2.5532966628453634E-2</v>
      </c>
      <c r="J40" s="159">
        <f t="shared" si="3"/>
        <v>2.4562713896572396E-2</v>
      </c>
      <c r="K40" s="159">
        <f t="shared" si="2"/>
        <v>2.6145757827536521E-2</v>
      </c>
    </row>
    <row r="41" spans="5:11">
      <c r="E41" s="167">
        <v>16</v>
      </c>
      <c r="F41" s="166" t="s">
        <v>507</v>
      </c>
      <c r="G41" s="158">
        <v>1.0009999999999999</v>
      </c>
      <c r="H41" s="158">
        <v>1.018</v>
      </c>
      <c r="I41" s="159">
        <v>4.6397282317182193E-3</v>
      </c>
      <c r="J41" s="159">
        <f t="shared" si="3"/>
        <v>4.6443679599499372E-3</v>
      </c>
      <c r="K41" s="159">
        <f t="shared" si="2"/>
        <v>4.7232433398891474E-3</v>
      </c>
    </row>
    <row r="42" spans="5:11">
      <c r="E42" s="158"/>
      <c r="F42" s="166" t="s">
        <v>398</v>
      </c>
      <c r="G42" s="158">
        <f>AVERAGE(G26:G41)</f>
        <v>0.9701249999999999</v>
      </c>
      <c r="H42" s="158">
        <f>AVERAGE(H26:H41)</f>
        <v>1.1225624999999999</v>
      </c>
      <c r="I42" s="159">
        <f>SUM(I26:I41)</f>
        <v>0.99999999999999989</v>
      </c>
      <c r="J42" s="159">
        <f>SUM(J26:J41)</f>
        <v>0.95569530347808707</v>
      </c>
      <c r="K42" s="159">
        <f>SUM(K26:K41)</f>
        <v>1.1121093436122886</v>
      </c>
    </row>
    <row r="43" spans="5:11">
      <c r="E43" s="153"/>
      <c r="F43" s="169"/>
      <c r="G43" s="161"/>
      <c r="H43" s="161"/>
      <c r="I43" s="153"/>
      <c r="J43" s="153"/>
      <c r="K43" s="153"/>
    </row>
    <row r="44" spans="5:11">
      <c r="E44" s="168" t="s">
        <v>531</v>
      </c>
      <c r="F44" s="169"/>
      <c r="G44" s="161"/>
      <c r="H44" s="161"/>
      <c r="I44" s="153"/>
      <c r="J44" s="153"/>
      <c r="K44" s="153"/>
    </row>
    <row r="45" spans="5:11">
      <c r="E45" s="168" t="s">
        <v>532</v>
      </c>
      <c r="F45" s="169"/>
      <c r="G45" s="161"/>
      <c r="H45" s="161"/>
      <c r="I45" s="153"/>
      <c r="J45" s="153"/>
      <c r="K45" s="153"/>
    </row>
  </sheetData>
  <mergeCells count="3">
    <mergeCell ref="P3:Q3"/>
    <mergeCell ref="A3:B3"/>
    <mergeCell ref="A8:B8"/>
  </mergeCells>
  <hyperlinks>
    <hyperlink ref="A12" location="'Master Summary'!A1" display="Return To Master Summary"/>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S417"/>
  <sheetViews>
    <sheetView topLeftCell="A186" zoomScale="70" zoomScaleNormal="70" workbookViewId="0">
      <selection activeCell="S156" sqref="S156"/>
    </sheetView>
  </sheetViews>
  <sheetFormatPr defaultColWidth="9.109375" defaultRowHeight="14.4"/>
  <cols>
    <col min="1" max="1" width="51.5546875" style="1211" customWidth="1"/>
    <col min="2" max="2" width="33.33203125" style="1212" customWidth="1"/>
    <col min="3" max="3" width="12" style="1213" customWidth="1"/>
    <col min="4" max="4" width="19.44140625" style="433" customWidth="1"/>
    <col min="5" max="5" width="6.33203125" style="433" bestFit="1" customWidth="1"/>
    <col min="6" max="7" width="9.6640625" style="433" bestFit="1" customWidth="1"/>
    <col min="8" max="8" width="14.44140625" style="433" bestFit="1" customWidth="1"/>
    <col min="9" max="9" width="12.6640625" style="433" bestFit="1" customWidth="1"/>
    <col min="10" max="10" width="11.6640625" style="434" customWidth="1"/>
    <col min="11" max="11" width="17.6640625" style="433" bestFit="1" customWidth="1"/>
    <col min="12" max="12" width="12.33203125" style="434" customWidth="1"/>
    <col min="13" max="13" width="18.109375" style="433" bestFit="1" customWidth="1"/>
    <col min="14" max="14" width="12" style="1214" customWidth="1"/>
    <col min="15" max="16" width="12" style="1215" customWidth="1"/>
    <col min="17" max="18" width="18.88671875" style="1216" customWidth="1"/>
    <col min="19" max="19" width="17.5546875" style="433" customWidth="1"/>
    <col min="20" max="20" width="16.44140625" style="433" bestFit="1" customWidth="1"/>
    <col min="21" max="21" width="0.5546875" style="672" customWidth="1"/>
    <col min="22" max="22" width="24.5546875" style="1217" customWidth="1"/>
    <col min="23" max="23" width="10.44140625" style="433" bestFit="1" customWidth="1"/>
    <col min="24" max="24" width="129.5546875" style="433" customWidth="1"/>
    <col min="25" max="26" width="15" style="433" customWidth="1"/>
    <col min="27" max="27" width="15" style="1217" customWidth="1"/>
    <col min="28" max="28" width="0.6640625" style="891" customWidth="1"/>
    <col min="29" max="29" width="84.6640625" style="433" customWidth="1"/>
    <col min="30" max="30" width="16.6640625" style="433" bestFit="1" customWidth="1"/>
    <col min="31" max="31" width="15" style="433" bestFit="1" customWidth="1"/>
    <col min="32" max="32" width="12.6640625" style="434" bestFit="1" customWidth="1"/>
    <col min="33" max="33" width="130" style="433" customWidth="1"/>
    <col min="34" max="34" width="12.88671875" style="814" bestFit="1" customWidth="1"/>
    <col min="35" max="44" width="9.44140625" style="814" customWidth="1"/>
    <col min="45" max="45" width="11.33203125" style="814" customWidth="1"/>
    <col min="46" max="46" width="12.33203125" style="814" customWidth="1"/>
    <col min="47" max="59" width="9.44140625" style="814" customWidth="1"/>
    <col min="60" max="60" width="1.6640625" style="432" customWidth="1"/>
    <col min="61" max="83" width="9.109375" style="95"/>
    <col min="84" max="112" width="9.109375" style="433"/>
    <col min="113" max="113" width="9.109375" style="435"/>
    <col min="114" max="123" width="9.109375" style="433"/>
    <col min="124" max="16384" width="9.109375" style="93"/>
  </cols>
  <sheetData>
    <row r="1" spans="1:123" s="426" customFormat="1" ht="33.75" customHeight="1" thickBot="1">
      <c r="A1" s="421"/>
      <c r="B1" s="2451" t="s">
        <v>785</v>
      </c>
      <c r="C1" s="2452"/>
      <c r="D1" s="2452"/>
      <c r="E1" s="2452"/>
      <c r="F1" s="2452"/>
      <c r="G1" s="2452"/>
      <c r="H1" s="2452"/>
      <c r="I1" s="2453"/>
      <c r="J1" s="2454" t="s">
        <v>786</v>
      </c>
      <c r="K1" s="2455"/>
      <c r="L1" s="2456" t="s">
        <v>787</v>
      </c>
      <c r="M1" s="2455"/>
      <c r="N1" s="2454" t="s">
        <v>788</v>
      </c>
      <c r="O1" s="2456"/>
      <c r="P1" s="2456"/>
      <c r="Q1" s="2456"/>
      <c r="R1" s="2456"/>
      <c r="S1" s="2456"/>
      <c r="T1" s="2457"/>
      <c r="U1" s="422"/>
      <c r="V1" s="2458" t="s">
        <v>155</v>
      </c>
      <c r="W1" s="2459"/>
      <c r="X1" s="2459"/>
      <c r="Y1" s="2459"/>
      <c r="Z1" s="2459"/>
      <c r="AA1" s="2459"/>
      <c r="AB1" s="423"/>
      <c r="AC1" s="2454" t="s">
        <v>789</v>
      </c>
      <c r="AD1" s="2456"/>
      <c r="AE1" s="2456"/>
      <c r="AF1" s="2456"/>
      <c r="AG1" s="2456"/>
      <c r="AH1" s="2456"/>
      <c r="AI1" s="2456"/>
      <c r="AJ1" s="2456"/>
      <c r="AK1" s="2456"/>
      <c r="AL1" s="2456"/>
      <c r="AM1" s="2444"/>
      <c r="AN1" s="2444"/>
      <c r="AO1" s="2444"/>
      <c r="AP1" s="2444"/>
      <c r="AQ1" s="2444"/>
      <c r="AR1" s="2444"/>
      <c r="AS1" s="2444"/>
      <c r="AT1" s="2444"/>
      <c r="AU1" s="2444"/>
      <c r="AV1" s="2444"/>
      <c r="AW1" s="2444"/>
      <c r="AX1" s="2444"/>
      <c r="AY1" s="2444"/>
      <c r="AZ1" s="2444"/>
      <c r="BA1" s="2444"/>
      <c r="BB1" s="2444"/>
      <c r="BC1" s="2444"/>
      <c r="BD1" s="2444"/>
      <c r="BE1" s="2444"/>
      <c r="BF1" s="2444"/>
      <c r="BG1" s="424"/>
      <c r="BH1" s="425"/>
      <c r="CF1" s="427"/>
      <c r="CG1" s="428"/>
      <c r="CH1" s="428"/>
      <c r="CI1" s="428"/>
      <c r="CJ1" s="428"/>
      <c r="CK1" s="428"/>
      <c r="CL1" s="428"/>
      <c r="CM1" s="428"/>
      <c r="CN1" s="428"/>
      <c r="CO1" s="428"/>
      <c r="CP1" s="428"/>
      <c r="CQ1" s="428"/>
      <c r="CR1" s="428"/>
      <c r="CS1" s="428"/>
      <c r="CT1" s="428"/>
      <c r="CU1" s="428"/>
      <c r="CV1" s="428"/>
      <c r="CW1" s="428"/>
      <c r="CX1" s="428"/>
      <c r="CY1" s="428"/>
      <c r="CZ1" s="428"/>
      <c r="DA1" s="428"/>
      <c r="DB1" s="428"/>
      <c r="DC1" s="428"/>
      <c r="DD1" s="428"/>
      <c r="DE1" s="428"/>
      <c r="DF1" s="428"/>
      <c r="DG1" s="428"/>
      <c r="DH1" s="428"/>
      <c r="DI1" s="429"/>
      <c r="DJ1" s="428"/>
      <c r="DK1" s="428"/>
      <c r="DL1" s="428"/>
      <c r="DM1" s="428"/>
      <c r="DN1" s="428"/>
      <c r="DO1" s="428"/>
      <c r="DP1" s="428"/>
      <c r="DQ1" s="428"/>
      <c r="DR1" s="428"/>
      <c r="DS1" s="428"/>
    </row>
    <row r="2" spans="1:123" s="433" customFormat="1" ht="18.75" customHeight="1">
      <c r="A2" s="2445" t="s">
        <v>790</v>
      </c>
      <c r="B2" s="2447" t="s">
        <v>791</v>
      </c>
      <c r="C2" s="2449" t="s">
        <v>792</v>
      </c>
      <c r="D2" s="2417" t="s">
        <v>793</v>
      </c>
      <c r="E2" s="2417" t="s">
        <v>794</v>
      </c>
      <c r="F2" s="2417" t="s">
        <v>795</v>
      </c>
      <c r="G2" s="2417" t="s">
        <v>796</v>
      </c>
      <c r="H2" s="2417" t="s">
        <v>797</v>
      </c>
      <c r="I2" s="2437" t="s">
        <v>798</v>
      </c>
      <c r="J2" s="2439" t="s">
        <v>792</v>
      </c>
      <c r="K2" s="2437" t="s">
        <v>793</v>
      </c>
      <c r="L2" s="2439" t="s">
        <v>792</v>
      </c>
      <c r="M2" s="2437" t="s">
        <v>793</v>
      </c>
      <c r="N2" s="2442" t="s">
        <v>799</v>
      </c>
      <c r="O2" s="2427" t="s">
        <v>800</v>
      </c>
      <c r="P2" s="2427" t="s">
        <v>801</v>
      </c>
      <c r="Q2" s="2429" t="s">
        <v>802</v>
      </c>
      <c r="R2" s="2429" t="s">
        <v>803</v>
      </c>
      <c r="S2" s="2431" t="s">
        <v>804</v>
      </c>
      <c r="T2" s="2432"/>
      <c r="U2" s="430"/>
      <c r="V2" s="2417" t="s">
        <v>313</v>
      </c>
      <c r="W2" s="2417" t="s">
        <v>805</v>
      </c>
      <c r="X2" s="2417" t="s">
        <v>806</v>
      </c>
      <c r="Y2" s="2417" t="s">
        <v>807</v>
      </c>
      <c r="Z2" s="2417" t="s">
        <v>26</v>
      </c>
      <c r="AA2" s="2419" t="s">
        <v>808</v>
      </c>
      <c r="AB2" s="431"/>
      <c r="AC2" s="2421" t="s">
        <v>809</v>
      </c>
      <c r="AD2" s="2422"/>
      <c r="AE2" s="2423"/>
      <c r="AF2" s="2460" t="s">
        <v>810</v>
      </c>
      <c r="AG2" s="2461"/>
      <c r="AH2" s="2461"/>
      <c r="AI2" s="2461"/>
      <c r="AJ2" s="2461"/>
      <c r="AK2" s="2461"/>
      <c r="AL2" s="2461"/>
      <c r="AM2" s="2462"/>
      <c r="AN2" s="2462"/>
      <c r="AO2" s="2462"/>
      <c r="AP2" s="2462"/>
      <c r="AQ2" s="2462"/>
      <c r="AR2" s="2462"/>
      <c r="AS2" s="2462"/>
      <c r="AT2" s="2462"/>
      <c r="AU2" s="2462"/>
      <c r="AV2" s="2462"/>
      <c r="AW2" s="2462"/>
      <c r="AX2" s="2462"/>
      <c r="AY2" s="2462"/>
      <c r="AZ2" s="2462"/>
      <c r="BA2" s="2462"/>
      <c r="BB2" s="2462"/>
      <c r="BC2" s="2462"/>
      <c r="BD2" s="2462"/>
      <c r="BE2" s="2462"/>
      <c r="BF2" s="2462"/>
      <c r="BG2" s="2463"/>
      <c r="BH2" s="432"/>
      <c r="CF2" s="434"/>
      <c r="DI2" s="435"/>
    </row>
    <row r="3" spans="1:123" s="433" customFormat="1" ht="57.75" customHeight="1" thickBot="1">
      <c r="A3" s="2446"/>
      <c r="B3" s="2448"/>
      <c r="C3" s="2450"/>
      <c r="D3" s="2418"/>
      <c r="E3" s="2418"/>
      <c r="F3" s="2418"/>
      <c r="G3" s="2418"/>
      <c r="H3" s="2418"/>
      <c r="I3" s="2438"/>
      <c r="J3" s="2440"/>
      <c r="K3" s="2438"/>
      <c r="L3" s="2440"/>
      <c r="M3" s="2438"/>
      <c r="N3" s="2443"/>
      <c r="O3" s="2428"/>
      <c r="P3" s="2428"/>
      <c r="Q3" s="2430"/>
      <c r="R3" s="2430"/>
      <c r="S3" s="2433"/>
      <c r="T3" s="2434"/>
      <c r="U3" s="430"/>
      <c r="V3" s="2418"/>
      <c r="W3" s="2418"/>
      <c r="X3" s="2418"/>
      <c r="Y3" s="2418"/>
      <c r="Z3" s="2418"/>
      <c r="AA3" s="2420"/>
      <c r="AB3" s="431"/>
      <c r="AC3" s="2424"/>
      <c r="AD3" s="2425"/>
      <c r="AE3" s="2426"/>
      <c r="AF3" s="436" t="s">
        <v>811</v>
      </c>
      <c r="AG3" s="437" t="s">
        <v>806</v>
      </c>
      <c r="AH3" s="438" t="s">
        <v>807</v>
      </c>
      <c r="AI3" s="438" t="s">
        <v>812</v>
      </c>
      <c r="AJ3" s="438" t="s">
        <v>813</v>
      </c>
      <c r="AK3" s="438" t="s">
        <v>814</v>
      </c>
      <c r="AL3" s="439" t="s">
        <v>815</v>
      </c>
      <c r="AM3" s="439" t="s">
        <v>816</v>
      </c>
      <c r="AN3" s="439" t="s">
        <v>817</v>
      </c>
      <c r="AO3" s="439" t="s">
        <v>818</v>
      </c>
      <c r="AP3" s="439" t="s">
        <v>819</v>
      </c>
      <c r="AQ3" s="439" t="s">
        <v>820</v>
      </c>
      <c r="AR3" s="439" t="s">
        <v>821</v>
      </c>
      <c r="AS3" s="439" t="s">
        <v>822</v>
      </c>
      <c r="AT3" s="439" t="s">
        <v>823</v>
      </c>
      <c r="AU3" s="439" t="s">
        <v>824</v>
      </c>
      <c r="AV3" s="439" t="s">
        <v>825</v>
      </c>
      <c r="AW3" s="439" t="s">
        <v>826</v>
      </c>
      <c r="AX3" s="439" t="s">
        <v>827</v>
      </c>
      <c r="AY3" s="439" t="s">
        <v>828</v>
      </c>
      <c r="AZ3" s="439" t="s">
        <v>829</v>
      </c>
      <c r="BA3" s="439" t="s">
        <v>830</v>
      </c>
      <c r="BB3" s="439" t="s">
        <v>831</v>
      </c>
      <c r="BC3" s="439" t="s">
        <v>832</v>
      </c>
      <c r="BD3" s="439" t="s">
        <v>833</v>
      </c>
      <c r="BE3" s="439" t="s">
        <v>834</v>
      </c>
      <c r="BF3" s="439" t="s">
        <v>835</v>
      </c>
      <c r="BG3" s="440" t="s">
        <v>836</v>
      </c>
      <c r="BH3" s="441"/>
      <c r="DI3" s="435"/>
    </row>
    <row r="4" spans="1:123" s="447" customFormat="1" ht="26.25" customHeight="1" thickBot="1">
      <c r="A4" s="442" t="s">
        <v>837</v>
      </c>
      <c r="B4" s="443"/>
      <c r="C4" s="444"/>
      <c r="D4" s="445"/>
      <c r="E4" s="445"/>
      <c r="F4" s="445"/>
      <c r="G4" s="445"/>
      <c r="H4" s="445"/>
      <c r="I4" s="445"/>
      <c r="J4" s="446"/>
      <c r="K4" s="445"/>
      <c r="L4" s="446"/>
      <c r="N4" s="448"/>
      <c r="O4" s="449"/>
      <c r="P4" s="449"/>
      <c r="Q4" s="450"/>
      <c r="R4" s="450"/>
      <c r="S4" s="451"/>
      <c r="T4" s="451"/>
      <c r="U4" s="452"/>
      <c r="V4" s="453"/>
      <c r="Y4" s="451"/>
      <c r="Z4" s="451"/>
      <c r="AA4" s="451"/>
      <c r="AB4" s="454"/>
      <c r="AF4" s="455"/>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7"/>
      <c r="DI4" s="458"/>
    </row>
    <row r="5" spans="1:123" s="433" customFormat="1">
      <c r="A5" s="2435" t="s">
        <v>838</v>
      </c>
      <c r="B5" s="2350" t="s">
        <v>784</v>
      </c>
      <c r="C5" s="2299" t="s">
        <v>839</v>
      </c>
      <c r="D5" s="459" t="s">
        <v>840</v>
      </c>
      <c r="E5" s="460">
        <v>6014</v>
      </c>
      <c r="F5" s="461" t="s">
        <v>35</v>
      </c>
      <c r="G5" s="461" t="s">
        <v>35</v>
      </c>
      <c r="H5" s="462">
        <v>1176.8599999999999</v>
      </c>
      <c r="I5" s="463">
        <v>4373.6099999999997</v>
      </c>
      <c r="J5" s="2380" t="s">
        <v>839</v>
      </c>
      <c r="K5" s="459" t="s">
        <v>840</v>
      </c>
      <c r="L5" s="2380" t="s">
        <v>839</v>
      </c>
      <c r="M5" s="459" t="s">
        <v>840</v>
      </c>
      <c r="N5" s="464">
        <v>-11.64</v>
      </c>
      <c r="O5" s="465">
        <v>-1.03</v>
      </c>
      <c r="P5" s="465">
        <v>11.34</v>
      </c>
      <c r="Q5" s="466" t="s">
        <v>35</v>
      </c>
      <c r="R5" s="467">
        <v>-11.64</v>
      </c>
      <c r="S5" s="468" t="s">
        <v>841</v>
      </c>
      <c r="T5" s="469" t="s">
        <v>842</v>
      </c>
      <c r="U5" s="470"/>
      <c r="V5" s="2332" t="s">
        <v>843</v>
      </c>
      <c r="W5" s="471" t="s">
        <v>175</v>
      </c>
      <c r="X5" s="471" t="s">
        <v>844</v>
      </c>
      <c r="Y5" s="472">
        <f>($R$6+($R$7*20.75)+$R$8+$R$12+$R$16+$R$23+($R$24*573)+$T$12)</f>
        <v>993.50417991762902</v>
      </c>
      <c r="Z5" s="2389">
        <f>Y6-Y5</f>
        <v>28.865999999999985</v>
      </c>
      <c r="AA5" s="2413">
        <f>(573-487)*$P$24</f>
        <v>7.7399999999999993</v>
      </c>
      <c r="AB5" s="473"/>
      <c r="AC5" s="474" t="s">
        <v>845</v>
      </c>
      <c r="AD5" s="2415" t="s">
        <v>846</v>
      </c>
      <c r="AE5" s="2416"/>
      <c r="AF5" s="475"/>
      <c r="AG5" s="476"/>
      <c r="AH5" s="477"/>
      <c r="AI5" s="477"/>
      <c r="AJ5" s="477"/>
      <c r="AK5" s="477"/>
      <c r="AL5" s="477"/>
      <c r="AM5" s="477"/>
      <c r="AN5" s="477"/>
      <c r="AO5" s="477"/>
      <c r="AP5" s="477"/>
      <c r="AQ5" s="477"/>
      <c r="AR5" s="477"/>
      <c r="AS5" s="477"/>
      <c r="AT5" s="477"/>
      <c r="AU5" s="477"/>
      <c r="AV5" s="477"/>
      <c r="AW5" s="477"/>
      <c r="AX5" s="477"/>
      <c r="AY5" s="477"/>
      <c r="AZ5" s="477"/>
      <c r="BA5" s="477"/>
      <c r="BB5" s="477"/>
      <c r="BC5" s="477"/>
      <c r="BD5" s="477"/>
      <c r="BE5" s="477"/>
      <c r="BF5" s="477"/>
      <c r="BG5" s="477"/>
      <c r="BH5" s="432"/>
      <c r="DI5" s="435"/>
    </row>
    <row r="6" spans="1:123">
      <c r="A6" s="2311"/>
      <c r="B6" s="2273"/>
      <c r="C6" s="2274"/>
      <c r="D6" s="478" t="s">
        <v>64</v>
      </c>
      <c r="E6" s="178">
        <v>1358</v>
      </c>
      <c r="F6" s="479" t="s">
        <v>35</v>
      </c>
      <c r="G6" s="479" t="s">
        <v>35</v>
      </c>
      <c r="H6" s="480">
        <v>536.17999999999995</v>
      </c>
      <c r="I6" s="481">
        <v>2939.16</v>
      </c>
      <c r="J6" s="2361"/>
      <c r="K6" s="478" t="s">
        <v>64</v>
      </c>
      <c r="L6" s="2361"/>
      <c r="M6" s="478" t="s">
        <v>64</v>
      </c>
      <c r="N6" s="482">
        <v>0</v>
      </c>
      <c r="O6" s="483" t="s">
        <v>847</v>
      </c>
      <c r="P6" s="484" t="s">
        <v>847</v>
      </c>
      <c r="Q6" s="485" t="s">
        <v>35</v>
      </c>
      <c r="R6" s="486">
        <v>0</v>
      </c>
      <c r="S6" s="487" t="s">
        <v>848</v>
      </c>
      <c r="T6" s="488" t="s">
        <v>849</v>
      </c>
      <c r="U6" s="452"/>
      <c r="V6" s="2333"/>
      <c r="W6" s="487" t="s">
        <v>174</v>
      </c>
      <c r="X6" s="487" t="s">
        <v>850</v>
      </c>
      <c r="Y6" s="489">
        <f>($R$5+($R$7*20.75)+$R$8+$R$12+$R$16+$R$23+($R$24*487)+$T$12)</f>
        <v>1022.370179917629</v>
      </c>
      <c r="Z6" s="2414"/>
      <c r="AA6" s="2391"/>
      <c r="AB6" s="473"/>
      <c r="AC6" s="474" t="s">
        <v>851</v>
      </c>
      <c r="AD6" s="490" t="s">
        <v>795</v>
      </c>
      <c r="AE6" s="491">
        <v>0.17496536068510282</v>
      </c>
      <c r="AF6" s="475"/>
      <c r="AG6" s="476"/>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row>
    <row r="7" spans="1:123">
      <c r="A7" s="2311"/>
      <c r="B7" s="492" t="s">
        <v>852</v>
      </c>
      <c r="C7" s="493" t="s">
        <v>853</v>
      </c>
      <c r="D7" s="478" t="s">
        <v>854</v>
      </c>
      <c r="E7" s="178">
        <v>7372</v>
      </c>
      <c r="F7" s="178">
        <v>22.9</v>
      </c>
      <c r="G7" s="494">
        <v>3.55</v>
      </c>
      <c r="H7" s="480">
        <v>1031.01</v>
      </c>
      <c r="I7" s="481">
        <v>4669.4399999999996</v>
      </c>
      <c r="J7" s="495" t="s">
        <v>855</v>
      </c>
      <c r="K7" s="496" t="s">
        <v>856</v>
      </c>
      <c r="L7" s="495" t="s">
        <v>853</v>
      </c>
      <c r="M7" s="478" t="s">
        <v>857</v>
      </c>
      <c r="N7" s="482">
        <v>23.79</v>
      </c>
      <c r="O7" s="497">
        <v>17.600000000000001</v>
      </c>
      <c r="P7" s="497">
        <v>1.35</v>
      </c>
      <c r="Q7" s="485" t="s">
        <v>35</v>
      </c>
      <c r="R7" s="486">
        <v>23.79</v>
      </c>
      <c r="S7" s="498" t="s">
        <v>858</v>
      </c>
      <c r="T7" s="499" t="s">
        <v>859</v>
      </c>
      <c r="U7" s="470"/>
      <c r="V7" s="2333"/>
      <c r="W7" s="487" t="s">
        <v>175</v>
      </c>
      <c r="X7" s="487" t="s">
        <v>860</v>
      </c>
      <c r="Y7" s="489">
        <f>($R$6+($R$7*12.25)+$R$8+$R$12+$R$16+$R$23+($R$24*518)+$T$12)</f>
        <v>817.19417991762907</v>
      </c>
      <c r="Z7" s="2398">
        <f>Y8-Y7</f>
        <v>21.800999999999931</v>
      </c>
      <c r="AA7" s="2413">
        <f>(518-447)*$P$24</f>
        <v>6.39</v>
      </c>
      <c r="AB7" s="473"/>
      <c r="AC7" s="474"/>
      <c r="AD7" s="490" t="s">
        <v>861</v>
      </c>
      <c r="AE7" s="491">
        <v>4.9222537204982536E-3</v>
      </c>
      <c r="AF7" s="475"/>
      <c r="AG7" s="476"/>
      <c r="AH7" s="477"/>
      <c r="AI7" s="477"/>
      <c r="AJ7" s="477"/>
      <c r="AK7" s="477"/>
      <c r="AL7" s="477"/>
      <c r="AM7" s="477"/>
      <c r="AN7" s="477"/>
      <c r="AO7" s="477"/>
      <c r="AP7" s="477"/>
      <c r="AQ7" s="477"/>
      <c r="AR7" s="477"/>
      <c r="AS7" s="477"/>
      <c r="AT7" s="477"/>
      <c r="AU7" s="477"/>
      <c r="AV7" s="477"/>
      <c r="AW7" s="477"/>
      <c r="AX7" s="477"/>
      <c r="AY7" s="477"/>
      <c r="AZ7" s="477"/>
      <c r="BA7" s="477"/>
      <c r="BB7" s="477"/>
      <c r="BC7" s="477"/>
      <c r="BD7" s="477"/>
      <c r="BE7" s="477"/>
      <c r="BF7" s="477"/>
      <c r="BG7" s="477"/>
    </row>
    <row r="8" spans="1:123">
      <c r="A8" s="2311"/>
      <c r="B8" s="2273" t="s">
        <v>792</v>
      </c>
      <c r="C8" s="2274" t="s">
        <v>862</v>
      </c>
      <c r="D8" s="500" t="s">
        <v>863</v>
      </c>
      <c r="E8" s="178">
        <v>464</v>
      </c>
      <c r="F8" s="501" t="s">
        <v>35</v>
      </c>
      <c r="G8" s="502" t="s">
        <v>35</v>
      </c>
      <c r="H8" s="480">
        <v>1019.69</v>
      </c>
      <c r="I8" s="481">
        <v>1310.72</v>
      </c>
      <c r="J8" s="2361" t="s">
        <v>862</v>
      </c>
      <c r="K8" s="478" t="s">
        <v>863</v>
      </c>
      <c r="L8" s="2361" t="s">
        <v>862</v>
      </c>
      <c r="M8" s="478" t="s">
        <v>863</v>
      </c>
      <c r="N8" s="482">
        <v>0</v>
      </c>
      <c r="O8" s="483" t="s">
        <v>847</v>
      </c>
      <c r="P8" s="484" t="s">
        <v>847</v>
      </c>
      <c r="Q8" s="485" t="s">
        <v>35</v>
      </c>
      <c r="R8" s="486">
        <v>0</v>
      </c>
      <c r="S8" s="487" t="s">
        <v>864</v>
      </c>
      <c r="T8" s="503">
        <v>0.79200000000000004</v>
      </c>
      <c r="U8" s="504"/>
      <c r="V8" s="2333"/>
      <c r="W8" s="487" t="s">
        <v>174</v>
      </c>
      <c r="X8" s="487" t="s">
        <v>865</v>
      </c>
      <c r="Y8" s="489">
        <f>($R$5+($R$7*12.25)+$R$8+$R$12+$R$16+$R$23+($R$24*447)+$T$12)</f>
        <v>838.995179917629</v>
      </c>
      <c r="Z8" s="2398"/>
      <c r="AA8" s="2391"/>
      <c r="AB8" s="473"/>
      <c r="AC8" s="476"/>
      <c r="AD8" s="490" t="s">
        <v>866</v>
      </c>
      <c r="AE8" s="491">
        <v>0.16584464950671057</v>
      </c>
      <c r="AF8" s="475"/>
      <c r="AG8" s="476"/>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row>
    <row r="9" spans="1:123">
      <c r="A9" s="2311"/>
      <c r="B9" s="2273"/>
      <c r="C9" s="2274"/>
      <c r="D9" s="500" t="s">
        <v>867</v>
      </c>
      <c r="E9" s="178">
        <v>1552</v>
      </c>
      <c r="F9" s="501" t="s">
        <v>35</v>
      </c>
      <c r="G9" s="502" t="s">
        <v>35</v>
      </c>
      <c r="H9" s="480">
        <v>511.27</v>
      </c>
      <c r="I9" s="481">
        <v>1282.78</v>
      </c>
      <c r="J9" s="2361"/>
      <c r="K9" s="478" t="s">
        <v>867</v>
      </c>
      <c r="L9" s="2361"/>
      <c r="M9" s="478" t="s">
        <v>867</v>
      </c>
      <c r="N9" s="482">
        <v>-391.09100000000001</v>
      </c>
      <c r="O9" s="497">
        <v>-24.9</v>
      </c>
      <c r="P9" s="497">
        <v>15.74</v>
      </c>
      <c r="Q9" s="485" t="s">
        <v>35</v>
      </c>
      <c r="R9" s="486">
        <v>-391.09100000000001</v>
      </c>
      <c r="S9" s="498" t="s">
        <v>868</v>
      </c>
      <c r="T9" s="499" t="s">
        <v>869</v>
      </c>
      <c r="U9" s="470"/>
      <c r="V9" s="2333"/>
      <c r="W9" s="487" t="s">
        <v>175</v>
      </c>
      <c r="X9" s="487" t="s">
        <v>870</v>
      </c>
      <c r="Y9" s="489">
        <f>($R$6+($R$7*27)+$R$11+$R$12+$R$16+$R$23+($R$24*665)+$T$12)</f>
        <v>550.56967991762895</v>
      </c>
      <c r="Z9" s="2398">
        <f>Y10-Y9</f>
        <v>35.460000000000036</v>
      </c>
      <c r="AA9" s="2390">
        <f>(665-565)*0.09</f>
        <v>9</v>
      </c>
      <c r="AB9" s="473"/>
      <c r="AC9" s="476"/>
      <c r="AD9" s="490" t="s">
        <v>871</v>
      </c>
      <c r="AE9" s="491">
        <v>0.28266275065968754</v>
      </c>
      <c r="AF9" s="475"/>
      <c r="AG9" s="476"/>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477"/>
      <c r="BF9" s="477"/>
      <c r="BG9" s="477"/>
    </row>
    <row r="10" spans="1:123">
      <c r="A10" s="2311"/>
      <c r="B10" s="2273"/>
      <c r="C10" s="2274"/>
      <c r="D10" s="500" t="s">
        <v>872</v>
      </c>
      <c r="E10" s="178">
        <v>3050</v>
      </c>
      <c r="F10" s="501" t="s">
        <v>35</v>
      </c>
      <c r="G10" s="502" t="s">
        <v>35</v>
      </c>
      <c r="H10" s="480">
        <v>1779</v>
      </c>
      <c r="I10" s="481">
        <v>2871.83</v>
      </c>
      <c r="J10" s="2361"/>
      <c r="K10" s="502" t="s">
        <v>35</v>
      </c>
      <c r="L10" s="2361"/>
      <c r="M10" s="478" t="s">
        <v>872</v>
      </c>
      <c r="N10" s="482">
        <v>308.33</v>
      </c>
      <c r="O10" s="497">
        <v>18.399999999999999</v>
      </c>
      <c r="P10" s="497">
        <v>16.78</v>
      </c>
      <c r="Q10" s="485" t="s">
        <v>35</v>
      </c>
      <c r="R10" s="486">
        <v>308.33</v>
      </c>
      <c r="S10" s="487">
        <v>7372</v>
      </c>
      <c r="T10" s="505">
        <v>470718.81082000001</v>
      </c>
      <c r="U10" s="506"/>
      <c r="V10" s="2333"/>
      <c r="W10" s="487" t="s">
        <v>174</v>
      </c>
      <c r="X10" s="487" t="s">
        <v>873</v>
      </c>
      <c r="Y10" s="489">
        <f>($R$5+($R$7*27)+$R$11+$R$12+$R$16+$R$23+($R$24*565)+$T$12)</f>
        <v>586.02967991762898</v>
      </c>
      <c r="Z10" s="2398"/>
      <c r="AA10" s="2391"/>
      <c r="AB10" s="473"/>
      <c r="AC10" s="476"/>
      <c r="AD10" s="490" t="s">
        <v>874</v>
      </c>
      <c r="AE10" s="491">
        <v>1.1711240550208954</v>
      </c>
      <c r="AF10" s="475"/>
      <c r="AG10" s="476"/>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row>
    <row r="11" spans="1:123">
      <c r="A11" s="2311"/>
      <c r="B11" s="2273"/>
      <c r="C11" s="2274"/>
      <c r="D11" s="500" t="s">
        <v>875</v>
      </c>
      <c r="E11" s="178">
        <v>2306</v>
      </c>
      <c r="F11" s="501" t="s">
        <v>35</v>
      </c>
      <c r="G11" s="502" t="s">
        <v>35</v>
      </c>
      <c r="H11" s="480">
        <v>1042.9000000000001</v>
      </c>
      <c r="I11" s="481">
        <v>2199.84</v>
      </c>
      <c r="J11" s="2361"/>
      <c r="K11" s="478" t="s">
        <v>875</v>
      </c>
      <c r="L11" s="2361"/>
      <c r="M11" s="478" t="s">
        <v>875</v>
      </c>
      <c r="N11" s="482">
        <v>-548.29</v>
      </c>
      <c r="O11" s="497">
        <v>-29.2</v>
      </c>
      <c r="P11" s="497">
        <v>18.75</v>
      </c>
      <c r="Q11" s="485" t="s">
        <v>35</v>
      </c>
      <c r="R11" s="486">
        <v>-548.29</v>
      </c>
      <c r="S11" s="498" t="s">
        <v>876</v>
      </c>
      <c r="T11" s="499" t="s">
        <v>877</v>
      </c>
      <c r="U11" s="470"/>
      <c r="V11" s="2333"/>
      <c r="W11" s="487" t="s">
        <v>175</v>
      </c>
      <c r="X11" s="507" t="s">
        <v>878</v>
      </c>
      <c r="Y11" s="489">
        <f>($R$6+($R$7*27)+$R$11+$R$12+$R$16+$R$22+($R$24*730)+$T$12)</f>
        <v>1041.4546799176289</v>
      </c>
      <c r="Z11" s="2398">
        <f>Y12-Y11</f>
        <v>40.170000000000073</v>
      </c>
      <c r="AA11" s="2390">
        <f>(730-620)*0.09</f>
        <v>9.9</v>
      </c>
      <c r="AB11" s="473"/>
      <c r="AC11" s="476"/>
      <c r="AD11" s="490" t="s">
        <v>879</v>
      </c>
      <c r="AE11" s="491">
        <v>1.3715315522485854</v>
      </c>
      <c r="AF11" s="475"/>
      <c r="AG11" s="476"/>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row>
    <row r="12" spans="1:123">
      <c r="A12" s="2311"/>
      <c r="B12" s="2273" t="s">
        <v>880</v>
      </c>
      <c r="C12" s="2274" t="s">
        <v>862</v>
      </c>
      <c r="D12" s="500">
        <v>1</v>
      </c>
      <c r="E12" s="178">
        <v>1672</v>
      </c>
      <c r="F12" s="501" t="s">
        <v>35</v>
      </c>
      <c r="G12" s="502" t="s">
        <v>35</v>
      </c>
      <c r="H12" s="480">
        <v>1100.57</v>
      </c>
      <c r="I12" s="481">
        <v>3575.98</v>
      </c>
      <c r="J12" s="2395" t="s">
        <v>35</v>
      </c>
      <c r="K12" s="2394" t="s">
        <v>35</v>
      </c>
      <c r="L12" s="2395" t="s">
        <v>35</v>
      </c>
      <c r="M12" s="2394" t="s">
        <v>35</v>
      </c>
      <c r="N12" s="482">
        <v>0</v>
      </c>
      <c r="O12" s="483" t="s">
        <v>847</v>
      </c>
      <c r="P12" s="484" t="s">
        <v>847</v>
      </c>
      <c r="Q12" s="508">
        <f>60700.174558/T10</f>
        <v>0.12895209021338935</v>
      </c>
      <c r="R12" s="2285">
        <f>(N12*Q12)+(N13*Q13)+(N14*Q14)+(N15*Q15)</f>
        <v>-43.577890372043406</v>
      </c>
      <c r="S12" s="509">
        <v>0.86</v>
      </c>
      <c r="T12" s="510">
        <v>726.7</v>
      </c>
      <c r="U12" s="452"/>
      <c r="V12" s="2333"/>
      <c r="W12" s="487" t="s">
        <v>174</v>
      </c>
      <c r="X12" s="507" t="s">
        <v>881</v>
      </c>
      <c r="Y12" s="489">
        <f>($R$5+($R$7*27)+$R$11+$R$12+$R$16+$R$22+($R$24*620)+$T$12)</f>
        <v>1081.624679917629</v>
      </c>
      <c r="Z12" s="2398"/>
      <c r="AA12" s="2391"/>
      <c r="AB12" s="473"/>
      <c r="AC12" s="476"/>
      <c r="AD12" s="490" t="s">
        <v>882</v>
      </c>
      <c r="AE12" s="491">
        <v>10032.458385551132</v>
      </c>
      <c r="AF12" s="475"/>
      <c r="AG12" s="476"/>
      <c r="AH12" s="477"/>
      <c r="AI12" s="477"/>
      <c r="AJ12" s="477"/>
      <c r="AK12" s="477"/>
      <c r="AL12" s="477"/>
      <c r="AM12" s="477"/>
      <c r="AN12" s="477"/>
      <c r="AO12" s="477"/>
      <c r="AP12" s="477"/>
      <c r="AQ12" s="477"/>
      <c r="AR12" s="477"/>
      <c r="AS12" s="477"/>
      <c r="AT12" s="477"/>
      <c r="AU12" s="477"/>
      <c r="AV12" s="477"/>
      <c r="AW12" s="477"/>
      <c r="AX12" s="477"/>
      <c r="AY12" s="477"/>
      <c r="AZ12" s="477"/>
      <c r="BA12" s="477"/>
      <c r="BB12" s="477"/>
      <c r="BC12" s="477"/>
      <c r="BD12" s="477"/>
      <c r="BE12" s="477"/>
      <c r="BF12" s="477"/>
      <c r="BG12" s="477"/>
    </row>
    <row r="13" spans="1:123">
      <c r="A13" s="2311"/>
      <c r="B13" s="2273"/>
      <c r="C13" s="2274"/>
      <c r="D13" s="500">
        <v>2</v>
      </c>
      <c r="E13" s="178">
        <v>1898</v>
      </c>
      <c r="F13" s="501" t="s">
        <v>35</v>
      </c>
      <c r="G13" s="502" t="s">
        <v>35</v>
      </c>
      <c r="H13" s="480">
        <v>1041.52</v>
      </c>
      <c r="I13" s="481">
        <v>4811.87</v>
      </c>
      <c r="J13" s="2395"/>
      <c r="K13" s="2394"/>
      <c r="L13" s="2395"/>
      <c r="M13" s="2394"/>
      <c r="N13" s="482">
        <v>-34.9</v>
      </c>
      <c r="O13" s="497">
        <v>-3.9</v>
      </c>
      <c r="P13" s="497">
        <v>8.86</v>
      </c>
      <c r="Q13" s="508">
        <f>127426.408523/T10</f>
        <v>0.27070600450621696</v>
      </c>
      <c r="R13" s="2346"/>
      <c r="S13" s="498" t="s">
        <v>883</v>
      </c>
      <c r="T13" s="511" t="s">
        <v>884</v>
      </c>
      <c r="U13" s="452"/>
      <c r="V13" s="2333"/>
      <c r="W13" s="487" t="s">
        <v>175</v>
      </c>
      <c r="X13" s="487" t="s">
        <v>885</v>
      </c>
      <c r="Y13" s="489">
        <f>($R$6+($R$7*19)+$R$11+$R$12+$R$16+$R$23+($R$24*620)+$T$12)</f>
        <v>381.44467991762906</v>
      </c>
      <c r="Z13" s="2398">
        <f>Y14-Y13</f>
        <v>31.692000000000007</v>
      </c>
      <c r="AA13" s="2390">
        <f>(620-528)*0.09</f>
        <v>8.2799999999999994</v>
      </c>
      <c r="AB13" s="473"/>
      <c r="AC13" s="476"/>
      <c r="AD13" s="490" t="s">
        <v>886</v>
      </c>
      <c r="AE13" s="491">
        <v>95.485955704731239</v>
      </c>
      <c r="AF13" s="475"/>
      <c r="AG13" s="476"/>
      <c r="AH13" s="477"/>
      <c r="AI13" s="477"/>
      <c r="AJ13" s="477"/>
      <c r="AK13" s="477"/>
      <c r="AL13" s="477"/>
      <c r="AM13" s="477"/>
      <c r="AN13" s="477"/>
      <c r="AO13" s="477"/>
      <c r="AP13" s="477"/>
      <c r="AQ13" s="477"/>
      <c r="AR13" s="477"/>
      <c r="AS13" s="477"/>
      <c r="AT13" s="477"/>
      <c r="AU13" s="477"/>
      <c r="AV13" s="477"/>
      <c r="AW13" s="477"/>
      <c r="AX13" s="477"/>
      <c r="AY13" s="477"/>
      <c r="AZ13" s="477"/>
      <c r="BA13" s="477"/>
      <c r="BB13" s="477"/>
      <c r="BC13" s="477"/>
      <c r="BD13" s="477"/>
      <c r="BE13" s="477"/>
      <c r="BF13" s="477"/>
      <c r="BG13" s="477"/>
    </row>
    <row r="14" spans="1:123">
      <c r="A14" s="2311"/>
      <c r="B14" s="2273"/>
      <c r="C14" s="2274"/>
      <c r="D14" s="500">
        <v>3</v>
      </c>
      <c r="E14" s="178">
        <v>1931</v>
      </c>
      <c r="F14" s="501" t="s">
        <v>35</v>
      </c>
      <c r="G14" s="502" t="s">
        <v>35</v>
      </c>
      <c r="H14" s="480">
        <v>971.45</v>
      </c>
      <c r="I14" s="481">
        <v>5386.66</v>
      </c>
      <c r="J14" s="2395"/>
      <c r="K14" s="2394"/>
      <c r="L14" s="2395"/>
      <c r="M14" s="2394"/>
      <c r="N14" s="482">
        <v>-42</v>
      </c>
      <c r="O14" s="497">
        <v>-4.9000000000000004</v>
      </c>
      <c r="P14" s="497">
        <v>8.5299999999999994</v>
      </c>
      <c r="Q14" s="508">
        <f>170075.404377/T10</f>
        <v>0.36130998053960456</v>
      </c>
      <c r="R14" s="2346"/>
      <c r="S14" s="512">
        <v>383.459</v>
      </c>
      <c r="T14" s="513" t="s">
        <v>35</v>
      </c>
      <c r="U14" s="452"/>
      <c r="V14" s="2333"/>
      <c r="W14" s="487" t="s">
        <v>174</v>
      </c>
      <c r="X14" s="487" t="s">
        <v>887</v>
      </c>
      <c r="Y14" s="489">
        <f>($R$5+($R$7*19)+$R$11+$R$12+$R$16+$R$23+($R$24*528)+$T$12)</f>
        <v>413.13667991762907</v>
      </c>
      <c r="Z14" s="2398"/>
      <c r="AA14" s="2391"/>
      <c r="AB14" s="473"/>
      <c r="AC14" s="476"/>
      <c r="AD14" s="490" t="s">
        <v>888</v>
      </c>
      <c r="AE14" s="491">
        <v>136.92236312178528</v>
      </c>
      <c r="AF14" s="475"/>
      <c r="AG14" s="476"/>
      <c r="AH14" s="477"/>
      <c r="AI14" s="477"/>
      <c r="AJ14" s="477"/>
      <c r="AK14" s="477"/>
      <c r="AL14" s="477"/>
      <c r="AM14" s="477"/>
      <c r="AN14" s="477"/>
      <c r="AO14" s="477"/>
      <c r="AP14" s="477"/>
      <c r="AQ14" s="477"/>
      <c r="AR14" s="477"/>
      <c r="AS14" s="477"/>
      <c r="AT14" s="477"/>
      <c r="AU14" s="477"/>
      <c r="AV14" s="477"/>
      <c r="AW14" s="477"/>
      <c r="AX14" s="477"/>
      <c r="AY14" s="477"/>
      <c r="AZ14" s="477"/>
      <c r="BA14" s="477"/>
      <c r="BB14" s="477"/>
      <c r="BC14" s="477"/>
      <c r="BD14" s="477"/>
      <c r="BE14" s="477"/>
      <c r="BF14" s="477"/>
      <c r="BG14" s="477"/>
    </row>
    <row r="15" spans="1:123">
      <c r="A15" s="2311"/>
      <c r="B15" s="2273"/>
      <c r="C15" s="2274"/>
      <c r="D15" s="500">
        <v>4</v>
      </c>
      <c r="E15" s="178">
        <v>1871</v>
      </c>
      <c r="F15" s="501" t="s">
        <v>35</v>
      </c>
      <c r="G15" s="502" t="s">
        <v>35</v>
      </c>
      <c r="H15" s="480">
        <v>1071.5999999999999</v>
      </c>
      <c r="I15" s="481">
        <v>4527.16</v>
      </c>
      <c r="J15" s="2395"/>
      <c r="K15" s="2394"/>
      <c r="L15" s="2395"/>
      <c r="M15" s="2394"/>
      <c r="N15" s="482">
        <v>-79.3</v>
      </c>
      <c r="O15" s="497">
        <v>-8.6999999999999993</v>
      </c>
      <c r="P15" s="497">
        <v>9.08</v>
      </c>
      <c r="Q15" s="508">
        <f>112516.823363/T10</f>
        <v>0.23903192474291354</v>
      </c>
      <c r="R15" s="2346"/>
      <c r="S15" s="514"/>
      <c r="T15" s="515"/>
      <c r="U15" s="452"/>
      <c r="V15" s="2333"/>
      <c r="W15" s="487" t="s">
        <v>175</v>
      </c>
      <c r="X15" s="487" t="s">
        <v>889</v>
      </c>
      <c r="Y15" s="489">
        <f>($R$6+($R$7*19)+$R$11+$R$12+$R$16+$R$22+($R$24*639)+$T$12)</f>
        <v>893.9956799176291</v>
      </c>
      <c r="Z15" s="2398">
        <f>Y16-Y15</f>
        <v>33.576000000000022</v>
      </c>
      <c r="AA15" s="2390">
        <f>(639-543)*0.09</f>
        <v>8.64</v>
      </c>
      <c r="AB15" s="473"/>
      <c r="AC15" s="476"/>
      <c r="AD15" s="490" t="s">
        <v>890</v>
      </c>
      <c r="AE15" s="491">
        <v>-0.87069487877977902</v>
      </c>
      <c r="AF15" s="475"/>
      <c r="AG15" s="476"/>
      <c r="AH15" s="477"/>
      <c r="AI15" s="477"/>
      <c r="AJ15" s="477"/>
      <c r="AK15" s="477"/>
      <c r="AL15" s="477"/>
      <c r="AM15" s="477"/>
      <c r="AN15" s="477"/>
      <c r="AO15" s="477"/>
      <c r="AP15" s="477"/>
      <c r="AQ15" s="477"/>
      <c r="AR15" s="477"/>
      <c r="AS15" s="477"/>
      <c r="AT15" s="477"/>
      <c r="AU15" s="477"/>
      <c r="AV15" s="477"/>
      <c r="AW15" s="477"/>
      <c r="AX15" s="477"/>
      <c r="AY15" s="477"/>
      <c r="AZ15" s="477"/>
      <c r="BA15" s="477"/>
      <c r="BB15" s="477"/>
      <c r="BC15" s="477"/>
      <c r="BD15" s="477"/>
      <c r="BE15" s="477"/>
      <c r="BF15" s="477"/>
      <c r="BG15" s="477"/>
    </row>
    <row r="16" spans="1:123">
      <c r="A16" s="2311"/>
      <c r="B16" s="2273" t="s">
        <v>891</v>
      </c>
      <c r="C16" s="2274" t="s">
        <v>862</v>
      </c>
      <c r="D16" s="478" t="s">
        <v>892</v>
      </c>
      <c r="E16" s="178">
        <v>1980</v>
      </c>
      <c r="F16" s="501" t="s">
        <v>35</v>
      </c>
      <c r="G16" s="502" t="s">
        <v>35</v>
      </c>
      <c r="H16" s="480">
        <v>676.08</v>
      </c>
      <c r="I16" s="481">
        <v>3414.63</v>
      </c>
      <c r="J16" s="2395" t="s">
        <v>35</v>
      </c>
      <c r="K16" s="2394" t="s">
        <v>35</v>
      </c>
      <c r="L16" s="2395" t="s">
        <v>35</v>
      </c>
      <c r="M16" s="2394" t="s">
        <v>35</v>
      </c>
      <c r="N16" s="482">
        <v>0</v>
      </c>
      <c r="O16" s="483" t="s">
        <v>847</v>
      </c>
      <c r="P16" s="484" t="s">
        <v>847</v>
      </c>
      <c r="Q16" s="508">
        <f>186073.54141/T10</f>
        <v>0.39529659136811801</v>
      </c>
      <c r="R16" s="2346">
        <f>SUMPRODUCT(N16:N21,Q16:Q21)</f>
        <v>86.622570289672353</v>
      </c>
      <c r="S16" s="514"/>
      <c r="T16" s="515"/>
      <c r="U16" s="452"/>
      <c r="V16" s="2333"/>
      <c r="W16" s="487" t="s">
        <v>174</v>
      </c>
      <c r="X16" s="487" t="s">
        <v>893</v>
      </c>
      <c r="Y16" s="489">
        <f>($R$5+($R$7*19)+$R$11+$R$12+$R$16+$R$22+($R$24*543)+$T$12)</f>
        <v>927.57167991762913</v>
      </c>
      <c r="Z16" s="2398"/>
      <c r="AA16" s="2391"/>
      <c r="AB16" s="473"/>
      <c r="AC16" s="476"/>
      <c r="AD16" s="490" t="s">
        <v>894</v>
      </c>
      <c r="AE16" s="491">
        <v>136.05166824300551</v>
      </c>
      <c r="AF16" s="475"/>
      <c r="AG16" s="476"/>
      <c r="AH16" s="477"/>
      <c r="AI16" s="477"/>
      <c r="AJ16" s="477"/>
      <c r="AK16" s="477"/>
      <c r="AL16" s="477"/>
      <c r="AM16" s="477"/>
      <c r="AN16" s="477"/>
      <c r="AO16" s="477"/>
      <c r="AP16" s="477"/>
      <c r="AQ16" s="477"/>
      <c r="AR16" s="477"/>
      <c r="AS16" s="477"/>
      <c r="AT16" s="477"/>
      <c r="AU16" s="477"/>
      <c r="AV16" s="477"/>
      <c r="AW16" s="477"/>
      <c r="AX16" s="477"/>
      <c r="AY16" s="477"/>
      <c r="AZ16" s="477"/>
      <c r="BA16" s="477"/>
      <c r="BB16" s="477"/>
      <c r="BC16" s="477"/>
      <c r="BD16" s="477"/>
      <c r="BE16" s="477"/>
      <c r="BF16" s="477"/>
      <c r="BG16" s="477"/>
    </row>
    <row r="17" spans="1:113">
      <c r="A17" s="2311"/>
      <c r="B17" s="2273"/>
      <c r="C17" s="2274"/>
      <c r="D17" s="478" t="s">
        <v>895</v>
      </c>
      <c r="E17" s="178">
        <v>275</v>
      </c>
      <c r="F17" s="501" t="s">
        <v>35</v>
      </c>
      <c r="G17" s="502" t="s">
        <v>35</v>
      </c>
      <c r="H17" s="480">
        <v>894.58</v>
      </c>
      <c r="I17" s="481">
        <v>1292.82</v>
      </c>
      <c r="J17" s="2395"/>
      <c r="K17" s="2394"/>
      <c r="L17" s="2395"/>
      <c r="M17" s="2394"/>
      <c r="N17" s="482">
        <v>71.513999999999996</v>
      </c>
      <c r="O17" s="497">
        <v>2.5099999999999998</v>
      </c>
      <c r="P17" s="497">
        <v>28.51</v>
      </c>
      <c r="Q17" s="508">
        <f>4073.205648/T10</f>
        <v>8.6531609835273169E-3</v>
      </c>
      <c r="R17" s="2346"/>
      <c r="S17" s="514"/>
      <c r="T17" s="515"/>
      <c r="U17" s="452"/>
      <c r="V17" s="2333"/>
      <c r="W17" s="487" t="s">
        <v>175</v>
      </c>
      <c r="X17" s="487" t="s">
        <v>896</v>
      </c>
      <c r="Y17" s="489">
        <f>($R$6+($R$7*22.5)+$R$9+$R$12+$R$16+$R$23+($R$24*532)+$T$12)</f>
        <v>663.35667991762898</v>
      </c>
      <c r="Z17" s="2398">
        <f>Y18-Y17</f>
        <v>26.039999999999964</v>
      </c>
      <c r="AA17" s="2390">
        <f>(532-452)*0.09</f>
        <v>7.1999999999999993</v>
      </c>
      <c r="AB17" s="473"/>
      <c r="AC17" s="476"/>
      <c r="AD17" s="490" t="s">
        <v>897</v>
      </c>
      <c r="AE17" s="491">
        <v>9904.4391376623007</v>
      </c>
      <c r="AF17" s="475"/>
      <c r="AG17" s="476"/>
      <c r="AH17" s="477"/>
      <c r="AI17" s="477"/>
      <c r="AJ17" s="477"/>
      <c r="AK17" s="477"/>
      <c r="AL17" s="477"/>
      <c r="AM17" s="477"/>
      <c r="AN17" s="477"/>
      <c r="AO17" s="477"/>
      <c r="AP17" s="477"/>
      <c r="AQ17" s="477"/>
      <c r="AR17" s="477"/>
      <c r="AS17" s="477"/>
      <c r="AT17" s="477"/>
      <c r="AU17" s="477"/>
      <c r="AV17" s="477"/>
      <c r="AW17" s="477"/>
      <c r="AX17" s="477"/>
      <c r="AY17" s="477"/>
      <c r="AZ17" s="477"/>
      <c r="BA17" s="477"/>
      <c r="BB17" s="477"/>
      <c r="BC17" s="477"/>
      <c r="BD17" s="477"/>
      <c r="BE17" s="477"/>
      <c r="BF17" s="477"/>
      <c r="BG17" s="477"/>
    </row>
    <row r="18" spans="1:113">
      <c r="A18" s="2311"/>
      <c r="B18" s="2273"/>
      <c r="C18" s="2274"/>
      <c r="D18" s="478" t="s">
        <v>898</v>
      </c>
      <c r="E18" s="178">
        <v>1648</v>
      </c>
      <c r="F18" s="501" t="s">
        <v>35</v>
      </c>
      <c r="G18" s="502" t="s">
        <v>35</v>
      </c>
      <c r="H18" s="480">
        <v>921.55</v>
      </c>
      <c r="I18" s="481">
        <v>3151.23</v>
      </c>
      <c r="J18" s="2395"/>
      <c r="K18" s="2394"/>
      <c r="L18" s="2395"/>
      <c r="M18" s="2394"/>
      <c r="N18" s="482">
        <v>14.769</v>
      </c>
      <c r="O18" s="497">
        <v>1.92</v>
      </c>
      <c r="P18" s="497">
        <v>7.71</v>
      </c>
      <c r="Q18" s="508">
        <f>86991.42473/T10</f>
        <v>0.18480549901640744</v>
      </c>
      <c r="R18" s="2346"/>
      <c r="S18" s="514"/>
      <c r="T18" s="515"/>
      <c r="U18" s="452"/>
      <c r="V18" s="2333"/>
      <c r="W18" s="487" t="s">
        <v>174</v>
      </c>
      <c r="X18" s="487" t="s">
        <v>899</v>
      </c>
      <c r="Y18" s="489">
        <f>($R$5+($R$7*22.5)+$R$9+$R$12+$R$16+$R$23+($R$24*452)+$T$12)</f>
        <v>689.39667991762894</v>
      </c>
      <c r="Z18" s="2398"/>
      <c r="AA18" s="2391"/>
      <c r="AB18" s="473"/>
      <c r="AC18" s="476"/>
      <c r="AD18" s="490" t="s">
        <v>794</v>
      </c>
      <c r="AE18" s="491">
        <v>56608</v>
      </c>
      <c r="AF18" s="475"/>
      <c r="AG18" s="476"/>
      <c r="AH18" s="477"/>
      <c r="AI18" s="477"/>
      <c r="AJ18" s="477"/>
      <c r="AK18" s="477"/>
      <c r="AL18" s="477"/>
      <c r="AM18" s="477"/>
      <c r="AN18" s="477"/>
      <c r="AO18" s="477"/>
      <c r="AP18" s="477"/>
      <c r="AQ18" s="477"/>
      <c r="AR18" s="477"/>
      <c r="AS18" s="477"/>
      <c r="AT18" s="477"/>
      <c r="AU18" s="477"/>
      <c r="AV18" s="477"/>
      <c r="AW18" s="477"/>
      <c r="AX18" s="477"/>
      <c r="AY18" s="477"/>
      <c r="AZ18" s="477"/>
      <c r="BA18" s="477"/>
      <c r="BB18" s="477"/>
      <c r="BC18" s="477"/>
      <c r="BD18" s="477"/>
      <c r="BE18" s="477"/>
      <c r="BF18" s="477"/>
      <c r="BG18" s="477"/>
    </row>
    <row r="19" spans="1:113">
      <c r="A19" s="2311"/>
      <c r="B19" s="2273"/>
      <c r="C19" s="2274"/>
      <c r="D19" s="478" t="s">
        <v>900</v>
      </c>
      <c r="E19" s="178">
        <v>203</v>
      </c>
      <c r="F19" s="501" t="s">
        <v>35</v>
      </c>
      <c r="G19" s="502" t="s">
        <v>35</v>
      </c>
      <c r="H19" s="480">
        <v>974.08</v>
      </c>
      <c r="I19" s="481">
        <v>2102.31</v>
      </c>
      <c r="J19" s="2395"/>
      <c r="K19" s="2394"/>
      <c r="L19" s="2395"/>
      <c r="M19" s="2394"/>
      <c r="N19" s="482">
        <v>169.16900000000001</v>
      </c>
      <c r="O19" s="497">
        <v>6.17</v>
      </c>
      <c r="P19" s="497">
        <v>27.42</v>
      </c>
      <c r="Q19" s="508">
        <f>4522.234897/T10</f>
        <v>9.6070834499309508E-3</v>
      </c>
      <c r="R19" s="2346"/>
      <c r="S19" s="514"/>
      <c r="T19" s="515"/>
      <c r="U19" s="452"/>
      <c r="V19" s="2333"/>
      <c r="W19" s="487" t="s">
        <v>175</v>
      </c>
      <c r="X19" s="487" t="s">
        <v>901</v>
      </c>
      <c r="Y19" s="489">
        <f>($R$6+($R$7*17.5)+$R$9+$R$12+$R$16+$R$23+($R$24*469)+$T$12)</f>
        <v>574.07967991762894</v>
      </c>
      <c r="Z19" s="2398">
        <f>Y20-Y19</f>
        <v>21.330000000000041</v>
      </c>
      <c r="AA19" s="2390">
        <f>(469-399)*0.09</f>
        <v>6.3</v>
      </c>
      <c r="AB19" s="473"/>
      <c r="AC19" s="476"/>
      <c r="AD19" s="516"/>
      <c r="AE19" s="517"/>
      <c r="AF19" s="475"/>
      <c r="AG19" s="476"/>
      <c r="AH19" s="477"/>
      <c r="AI19" s="477"/>
      <c r="AJ19" s="477"/>
      <c r="AK19" s="477"/>
      <c r="AL19" s="477"/>
      <c r="AM19" s="477"/>
      <c r="AN19" s="477"/>
      <c r="AO19" s="477"/>
      <c r="AP19" s="477"/>
      <c r="AQ19" s="477"/>
      <c r="AR19" s="477"/>
      <c r="AS19" s="477"/>
      <c r="AT19" s="477"/>
      <c r="AU19" s="477"/>
      <c r="AV19" s="477"/>
      <c r="AW19" s="477"/>
      <c r="AX19" s="477"/>
      <c r="AY19" s="477"/>
      <c r="AZ19" s="477"/>
      <c r="BA19" s="477"/>
      <c r="BB19" s="477"/>
      <c r="BC19" s="477"/>
      <c r="BD19" s="477"/>
      <c r="BE19" s="477"/>
      <c r="BF19" s="477"/>
      <c r="BG19" s="477"/>
    </row>
    <row r="20" spans="1:113">
      <c r="A20" s="2311"/>
      <c r="B20" s="2273"/>
      <c r="C20" s="2274"/>
      <c r="D20" s="478" t="s">
        <v>902</v>
      </c>
      <c r="E20" s="178">
        <v>2477</v>
      </c>
      <c r="F20" s="501" t="s">
        <v>35</v>
      </c>
      <c r="G20" s="502" t="s">
        <v>35</v>
      </c>
      <c r="H20" s="480">
        <v>1557.92</v>
      </c>
      <c r="I20" s="481">
        <v>4374.76</v>
      </c>
      <c r="J20" s="2395"/>
      <c r="K20" s="2394"/>
      <c r="L20" s="2395"/>
      <c r="M20" s="2394"/>
      <c r="N20" s="482">
        <v>250.38</v>
      </c>
      <c r="O20" s="497">
        <v>32.31</v>
      </c>
      <c r="P20" s="497">
        <v>7.75</v>
      </c>
      <c r="Q20" s="508">
        <f>146741.36123/T10</f>
        <v>0.31173889349009465</v>
      </c>
      <c r="R20" s="2346"/>
      <c r="S20" s="514"/>
      <c r="T20" s="515"/>
      <c r="U20" s="452"/>
      <c r="V20" s="2333"/>
      <c r="W20" s="487" t="s">
        <v>174</v>
      </c>
      <c r="X20" s="487" t="s">
        <v>903</v>
      </c>
      <c r="Y20" s="489">
        <f>($R$5+($R$7*17.5)+$R$9+$R$12+$R$16+$R$23+($R$24*399)+$T$12)</f>
        <v>595.40967991762898</v>
      </c>
      <c r="Z20" s="2398"/>
      <c r="AA20" s="2391"/>
      <c r="AB20" s="473"/>
      <c r="AC20" s="476"/>
      <c r="AD20" s="518"/>
      <c r="AE20" s="476"/>
      <c r="AF20" s="475"/>
      <c r="AG20" s="476"/>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row>
    <row r="21" spans="1:113">
      <c r="A21" s="2311"/>
      <c r="B21" s="2273"/>
      <c r="C21" s="2274"/>
      <c r="D21" s="478" t="s">
        <v>904</v>
      </c>
      <c r="E21" s="178">
        <v>789</v>
      </c>
      <c r="F21" s="501" t="s">
        <v>35</v>
      </c>
      <c r="G21" s="502" t="s">
        <v>35</v>
      </c>
      <c r="H21" s="480">
        <v>1008.76</v>
      </c>
      <c r="I21" s="481">
        <v>3025.57</v>
      </c>
      <c r="J21" s="2395"/>
      <c r="K21" s="2394"/>
      <c r="L21" s="2395"/>
      <c r="M21" s="2394"/>
      <c r="N21" s="482">
        <v>40</v>
      </c>
      <c r="O21" s="497">
        <v>3.96</v>
      </c>
      <c r="P21" s="497">
        <v>10.1</v>
      </c>
      <c r="Q21" s="508">
        <f>42317.042908/T10</f>
        <v>8.9898771698294799E-2</v>
      </c>
      <c r="R21" s="2346"/>
      <c r="S21" s="514"/>
      <c r="T21" s="515"/>
      <c r="U21" s="452"/>
      <c r="V21" s="2333"/>
      <c r="W21" s="487" t="s">
        <v>175</v>
      </c>
      <c r="X21" s="487" t="s">
        <v>905</v>
      </c>
      <c r="Y21" s="489">
        <f>($R$6+($R$7*12.5)+$R$9+$R$12+$R$16+$R$23+($R$24*420)+$T$12)</f>
        <v>478.20867991762896</v>
      </c>
      <c r="Z21" s="2398">
        <f>Y22-Y21</f>
        <v>18.033000000000015</v>
      </c>
      <c r="AA21" s="2390">
        <f>(420-357)*0.09</f>
        <v>5.67</v>
      </c>
      <c r="AB21" s="473"/>
      <c r="AC21" s="476"/>
      <c r="AD21" s="518"/>
      <c r="AE21" s="476"/>
      <c r="AF21" s="475"/>
      <c r="AG21" s="476"/>
      <c r="AH21" s="477"/>
      <c r="AI21" s="477"/>
      <c r="AJ21" s="477"/>
      <c r="AK21" s="477"/>
      <c r="AL21" s="477"/>
      <c r="AM21" s="477"/>
      <c r="AN21" s="477"/>
      <c r="AO21" s="477"/>
      <c r="AP21" s="477"/>
      <c r="AQ21" s="477"/>
      <c r="AR21" s="477"/>
      <c r="AS21" s="477"/>
      <c r="AT21" s="477"/>
      <c r="AU21" s="477"/>
      <c r="AV21" s="477"/>
      <c r="AW21" s="477"/>
      <c r="AX21" s="477"/>
      <c r="AY21" s="477"/>
      <c r="AZ21" s="477"/>
      <c r="BA21" s="477"/>
      <c r="BB21" s="477"/>
      <c r="BC21" s="477"/>
      <c r="BD21" s="477"/>
      <c r="BE21" s="477"/>
      <c r="BF21" s="477"/>
      <c r="BG21" s="477"/>
    </row>
    <row r="22" spans="1:113">
      <c r="A22" s="2311"/>
      <c r="B22" s="2273" t="s">
        <v>906</v>
      </c>
      <c r="C22" s="2274" t="s">
        <v>839</v>
      </c>
      <c r="D22" s="478" t="s">
        <v>840</v>
      </c>
      <c r="E22" s="178">
        <v>4072</v>
      </c>
      <c r="F22" s="501" t="s">
        <v>35</v>
      </c>
      <c r="G22" s="502" t="s">
        <v>35</v>
      </c>
      <c r="H22" s="480">
        <v>1392.81</v>
      </c>
      <c r="I22" s="481">
        <v>4147.99</v>
      </c>
      <c r="J22" s="2361" t="s">
        <v>839</v>
      </c>
      <c r="K22" s="478" t="s">
        <v>840</v>
      </c>
      <c r="L22" s="2361" t="s">
        <v>839</v>
      </c>
      <c r="M22" s="478" t="s">
        <v>840</v>
      </c>
      <c r="N22" s="482">
        <v>521.5</v>
      </c>
      <c r="O22" s="497">
        <v>42.9</v>
      </c>
      <c r="P22" s="497">
        <v>12.15</v>
      </c>
      <c r="Q22" s="485" t="s">
        <v>35</v>
      </c>
      <c r="R22" s="519">
        <v>521.5</v>
      </c>
      <c r="S22" s="514"/>
      <c r="T22" s="515"/>
      <c r="U22" s="452"/>
      <c r="V22" s="2334"/>
      <c r="W22" s="509" t="s">
        <v>174</v>
      </c>
      <c r="X22" s="509" t="s">
        <v>907</v>
      </c>
      <c r="Y22" s="489">
        <f>($R$5+($R$7*12.5)+$R$9+$R$12+$R$16+$R$23+($R$24*357)+$T$12)</f>
        <v>496.24167991762897</v>
      </c>
      <c r="Z22" s="2390"/>
      <c r="AA22" s="2413"/>
      <c r="AB22" s="473"/>
      <c r="AC22" s="476"/>
      <c r="AD22" s="518"/>
      <c r="AE22" s="476"/>
      <c r="AF22" s="475"/>
      <c r="AG22" s="476"/>
      <c r="AH22" s="477"/>
      <c r="AI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row>
    <row r="23" spans="1:113">
      <c r="A23" s="2311"/>
      <c r="B23" s="2273"/>
      <c r="C23" s="2274"/>
      <c r="D23" s="478" t="s">
        <v>64</v>
      </c>
      <c r="E23" s="178">
        <v>3300</v>
      </c>
      <c r="F23" s="501" t="s">
        <v>35</v>
      </c>
      <c r="G23" s="502" t="s">
        <v>35</v>
      </c>
      <c r="H23" s="480">
        <v>698.46</v>
      </c>
      <c r="I23" s="481">
        <v>3211.98</v>
      </c>
      <c r="J23" s="2361"/>
      <c r="K23" s="478" t="s">
        <v>64</v>
      </c>
      <c r="L23" s="2361"/>
      <c r="M23" s="478" t="s">
        <v>64</v>
      </c>
      <c r="N23" s="482">
        <v>0</v>
      </c>
      <c r="O23" s="483" t="s">
        <v>847</v>
      </c>
      <c r="P23" s="484" t="s">
        <v>847</v>
      </c>
      <c r="Q23" s="485" t="s">
        <v>35</v>
      </c>
      <c r="R23" s="519">
        <v>0</v>
      </c>
      <c r="S23" s="514"/>
      <c r="T23" s="515"/>
      <c r="U23" s="452"/>
      <c r="V23" s="520"/>
      <c r="W23" s="521"/>
      <c r="X23" s="521"/>
      <c r="Y23" s="522"/>
      <c r="Z23" s="522"/>
      <c r="AA23" s="522"/>
      <c r="AB23" s="454"/>
      <c r="AC23" s="476"/>
      <c r="AD23" s="518"/>
      <c r="AE23" s="476"/>
      <c r="AF23" s="475"/>
      <c r="AG23" s="476"/>
      <c r="AH23" s="477"/>
      <c r="AI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row>
    <row r="24" spans="1:113">
      <c r="A24" s="2311"/>
      <c r="B24" s="492" t="s">
        <v>908</v>
      </c>
      <c r="C24" s="493" t="s">
        <v>853</v>
      </c>
      <c r="D24" s="478" t="s">
        <v>909</v>
      </c>
      <c r="E24" s="178">
        <v>7372</v>
      </c>
      <c r="F24" s="178">
        <v>511.8</v>
      </c>
      <c r="G24" s="494">
        <v>77.400000000000006</v>
      </c>
      <c r="H24" s="480">
        <v>1031.01</v>
      </c>
      <c r="I24" s="481">
        <v>4669.4399999999996</v>
      </c>
      <c r="J24" s="495" t="s">
        <v>855</v>
      </c>
      <c r="K24" s="478" t="s">
        <v>910</v>
      </c>
      <c r="L24" s="523" t="s">
        <v>35</v>
      </c>
      <c r="M24" s="479" t="s">
        <v>35</v>
      </c>
      <c r="N24" s="482">
        <v>-0.47099999999999997</v>
      </c>
      <c r="O24" s="497">
        <v>-5.2</v>
      </c>
      <c r="P24" s="497">
        <v>0.09</v>
      </c>
      <c r="Q24" s="485" t="s">
        <v>35</v>
      </c>
      <c r="R24" s="519">
        <v>-0.47099999999999997</v>
      </c>
      <c r="S24" s="514"/>
      <c r="T24" s="515"/>
      <c r="U24" s="452"/>
      <c r="V24" s="524"/>
      <c r="W24" s="525"/>
      <c r="X24" s="525"/>
      <c r="Y24" s="515"/>
      <c r="Z24" s="515"/>
      <c r="AA24" s="515"/>
      <c r="AB24" s="454"/>
      <c r="AC24" s="476"/>
      <c r="AD24" s="518"/>
      <c r="AE24" s="476"/>
      <c r="AF24" s="475"/>
      <c r="AG24" s="476"/>
      <c r="AH24" s="477"/>
      <c r="AI24" s="477"/>
      <c r="AJ24" s="477"/>
      <c r="AK24" s="477"/>
      <c r="AL24" s="477"/>
      <c r="AM24" s="477"/>
      <c r="AN24" s="477"/>
      <c r="AO24" s="477"/>
      <c r="AP24" s="477"/>
      <c r="AQ24" s="477"/>
      <c r="AR24" s="477"/>
      <c r="AS24" s="477"/>
      <c r="AT24" s="477"/>
      <c r="AU24" s="477"/>
      <c r="AV24" s="477"/>
      <c r="AW24" s="477"/>
      <c r="AX24" s="477"/>
      <c r="AY24" s="477"/>
      <c r="AZ24" s="477"/>
      <c r="BA24" s="477"/>
      <c r="BB24" s="477"/>
      <c r="BC24" s="477"/>
      <c r="BD24" s="477"/>
      <c r="BE24" s="477"/>
      <c r="BF24" s="477"/>
      <c r="BG24" s="477"/>
    </row>
    <row r="25" spans="1:113">
      <c r="A25" s="2311"/>
      <c r="B25" s="2273" t="s">
        <v>911</v>
      </c>
      <c r="C25" s="2393" t="s">
        <v>35</v>
      </c>
      <c r="D25" s="2394" t="s">
        <v>35</v>
      </c>
      <c r="E25" s="526" t="s">
        <v>35</v>
      </c>
      <c r="F25" s="479" t="s">
        <v>35</v>
      </c>
      <c r="G25" s="479" t="s">
        <v>35</v>
      </c>
      <c r="H25" s="479" t="s">
        <v>35</v>
      </c>
      <c r="I25" s="479" t="s">
        <v>35</v>
      </c>
      <c r="J25" s="2395" t="s">
        <v>35</v>
      </c>
      <c r="K25" s="2394" t="s">
        <v>35</v>
      </c>
      <c r="L25" s="2397" t="s">
        <v>839</v>
      </c>
      <c r="M25" s="527" t="s">
        <v>840</v>
      </c>
      <c r="N25" s="528" t="s">
        <v>35</v>
      </c>
      <c r="O25" s="529" t="s">
        <v>35</v>
      </c>
      <c r="P25" s="529"/>
      <c r="Q25" s="485" t="s">
        <v>35</v>
      </c>
      <c r="R25" s="530" t="s">
        <v>35</v>
      </c>
      <c r="S25" s="514"/>
      <c r="T25" s="515"/>
      <c r="U25" s="452"/>
      <c r="V25" s="524"/>
      <c r="W25" s="525"/>
      <c r="X25" s="525"/>
      <c r="Y25" s="515"/>
      <c r="Z25" s="515"/>
      <c r="AA25" s="515"/>
      <c r="AB25" s="454"/>
      <c r="AC25" s="476"/>
      <c r="AD25" s="518"/>
      <c r="AE25" s="476"/>
      <c r="AF25" s="475"/>
      <c r="AG25" s="476"/>
      <c r="AH25" s="477"/>
      <c r="AI25" s="477"/>
      <c r="AJ25" s="477"/>
      <c r="AK25" s="477"/>
      <c r="AL25" s="477"/>
      <c r="AM25" s="477"/>
      <c r="AN25" s="477"/>
      <c r="AO25" s="477"/>
      <c r="AP25" s="477"/>
      <c r="AQ25" s="477"/>
      <c r="AR25" s="477"/>
      <c r="AS25" s="477"/>
      <c r="AT25" s="477"/>
      <c r="AU25" s="477"/>
      <c r="AV25" s="477"/>
      <c r="AW25" s="477"/>
      <c r="AX25" s="477"/>
      <c r="AY25" s="477"/>
      <c r="AZ25" s="477"/>
      <c r="BA25" s="477"/>
      <c r="BB25" s="477"/>
      <c r="BC25" s="477"/>
      <c r="BD25" s="477"/>
      <c r="BE25" s="477"/>
      <c r="BF25" s="477"/>
      <c r="BG25" s="477"/>
    </row>
    <row r="26" spans="1:113" ht="15" thickBot="1">
      <c r="A26" s="2436"/>
      <c r="B26" s="2348"/>
      <c r="C26" s="2441"/>
      <c r="D26" s="2408"/>
      <c r="E26" s="531" t="s">
        <v>35</v>
      </c>
      <c r="F26" s="532" t="s">
        <v>35</v>
      </c>
      <c r="G26" s="532" t="s">
        <v>35</v>
      </c>
      <c r="H26" s="532" t="s">
        <v>35</v>
      </c>
      <c r="I26" s="532" t="s">
        <v>35</v>
      </c>
      <c r="J26" s="2409"/>
      <c r="K26" s="2408"/>
      <c r="L26" s="2410"/>
      <c r="M26" s="533" t="s">
        <v>64</v>
      </c>
      <c r="N26" s="534" t="s">
        <v>35</v>
      </c>
      <c r="O26" s="535" t="s">
        <v>35</v>
      </c>
      <c r="P26" s="535"/>
      <c r="Q26" s="536" t="s">
        <v>35</v>
      </c>
      <c r="R26" s="537" t="s">
        <v>35</v>
      </c>
      <c r="S26" s="514"/>
      <c r="T26" s="515"/>
      <c r="U26" s="452"/>
      <c r="V26" s="524"/>
      <c r="W26" s="525"/>
      <c r="X26" s="525"/>
      <c r="Y26" s="515"/>
      <c r="Z26" s="515"/>
      <c r="AA26" s="515"/>
      <c r="AB26" s="454"/>
      <c r="AC26" s="538"/>
      <c r="AD26" s="539"/>
      <c r="AE26" s="538"/>
      <c r="AF26" s="475"/>
      <c r="AG26" s="476"/>
      <c r="AH26" s="477"/>
      <c r="AI26" s="477"/>
      <c r="AJ26" s="477"/>
      <c r="AK26" s="477"/>
      <c r="AL26" s="477"/>
      <c r="AM26" s="477"/>
      <c r="AN26" s="477"/>
      <c r="AO26" s="477"/>
      <c r="AP26" s="477"/>
      <c r="AQ26" s="477"/>
      <c r="AR26" s="477"/>
      <c r="AS26" s="477"/>
      <c r="AT26" s="477"/>
      <c r="AU26" s="477"/>
      <c r="AV26" s="477"/>
      <c r="AW26" s="477"/>
      <c r="AX26" s="477"/>
      <c r="AY26" s="477"/>
      <c r="AZ26" s="477"/>
      <c r="BA26" s="477"/>
      <c r="BB26" s="477"/>
      <c r="BC26" s="477"/>
      <c r="BD26" s="477"/>
      <c r="BE26" s="477"/>
      <c r="BF26" s="477"/>
      <c r="BG26" s="477"/>
    </row>
    <row r="27" spans="1:113" s="542" customFormat="1" ht="9" customHeight="1" thickBot="1">
      <c r="A27" s="540"/>
      <c r="B27" s="541"/>
      <c r="C27" s="444"/>
      <c r="D27" s="445"/>
      <c r="E27" s="445"/>
      <c r="F27" s="445"/>
      <c r="G27" s="445"/>
      <c r="H27" s="445"/>
      <c r="I27" s="445"/>
      <c r="J27" s="446"/>
      <c r="K27" s="445"/>
      <c r="L27" s="446"/>
      <c r="M27" s="447"/>
      <c r="N27" s="448"/>
      <c r="O27" s="449"/>
      <c r="P27" s="449"/>
      <c r="Q27" s="450"/>
      <c r="R27" s="450"/>
      <c r="S27" s="451"/>
      <c r="T27" s="451"/>
      <c r="U27" s="452"/>
      <c r="V27" s="453"/>
      <c r="W27" s="447"/>
      <c r="X27" s="447"/>
      <c r="Y27" s="451"/>
      <c r="Z27" s="451"/>
      <c r="AA27" s="451"/>
      <c r="AB27" s="454"/>
      <c r="AC27" s="447"/>
      <c r="AD27" s="447"/>
      <c r="AE27" s="447"/>
      <c r="AF27" s="455"/>
      <c r="AG27" s="447"/>
      <c r="AH27" s="456"/>
      <c r="AI27" s="456"/>
      <c r="AJ27" s="456"/>
      <c r="AK27" s="456"/>
      <c r="AL27" s="456"/>
      <c r="AM27" s="456"/>
      <c r="AN27" s="456"/>
      <c r="AO27" s="456"/>
      <c r="AP27" s="456"/>
      <c r="AQ27" s="456"/>
      <c r="AR27" s="456"/>
      <c r="AS27" s="456"/>
      <c r="AT27" s="456"/>
      <c r="AU27" s="456"/>
      <c r="AV27" s="456"/>
      <c r="AW27" s="456"/>
      <c r="AX27" s="456"/>
      <c r="AY27" s="456"/>
      <c r="AZ27" s="456"/>
      <c r="BA27" s="456"/>
      <c r="BB27" s="456"/>
      <c r="BC27" s="456"/>
      <c r="BD27" s="456"/>
      <c r="BE27" s="456"/>
      <c r="BF27" s="456"/>
      <c r="BG27" s="456"/>
      <c r="BH27" s="432"/>
      <c r="DI27" s="543"/>
    </row>
    <row r="28" spans="1:113" s="433" customFormat="1" ht="15" customHeight="1">
      <c r="A28" s="2336" t="s">
        <v>912</v>
      </c>
      <c r="B28" s="544" t="s">
        <v>913</v>
      </c>
      <c r="C28" s="545" t="s">
        <v>853</v>
      </c>
      <c r="D28" s="546" t="s">
        <v>914</v>
      </c>
      <c r="E28" s="547">
        <v>512</v>
      </c>
      <c r="F28" s="548">
        <v>2.0779730000000001</v>
      </c>
      <c r="G28" s="548">
        <v>0.45387300000000003</v>
      </c>
      <c r="H28" s="549">
        <v>563.16570000000002</v>
      </c>
      <c r="I28" s="550">
        <v>160.29859999999999</v>
      </c>
      <c r="J28" s="551" t="s">
        <v>35</v>
      </c>
      <c r="K28" s="552" t="s">
        <v>35</v>
      </c>
      <c r="L28" s="553" t="s">
        <v>853</v>
      </c>
      <c r="M28" s="554" t="s">
        <v>915</v>
      </c>
      <c r="N28" s="555">
        <v>38.908299999999997</v>
      </c>
      <c r="O28" s="556">
        <v>4.8899999999999997</v>
      </c>
      <c r="P28" s="556">
        <v>7.9594959999999997</v>
      </c>
      <c r="Q28" s="557" t="s">
        <v>35</v>
      </c>
      <c r="R28" s="467">
        <f>N28</f>
        <v>38.908299999999997</v>
      </c>
      <c r="S28" s="558" t="s">
        <v>841</v>
      </c>
      <c r="T28" s="559" t="s">
        <v>842</v>
      </c>
      <c r="U28" s="560"/>
      <c r="V28" s="2402" t="s">
        <v>916</v>
      </c>
      <c r="W28" s="561" t="s">
        <v>175</v>
      </c>
      <c r="X28" s="562" t="s">
        <v>917</v>
      </c>
      <c r="Y28" s="563">
        <f>$T$35+SUM($R$30:$R$54)+$N$28*1.26+$N$29*3.5</f>
        <v>466.37384380138769</v>
      </c>
      <c r="Z28" s="564" t="s">
        <v>918</v>
      </c>
      <c r="AA28" s="565" t="s">
        <v>918</v>
      </c>
      <c r="AB28" s="454"/>
      <c r="AC28" s="474" t="s">
        <v>919</v>
      </c>
      <c r="AD28" s="2411" t="s">
        <v>846</v>
      </c>
      <c r="AE28" s="2412"/>
      <c r="AF28" s="475"/>
      <c r="AG28" s="476"/>
      <c r="AH28" s="477"/>
      <c r="AI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32"/>
      <c r="DI28" s="435"/>
    </row>
    <row r="29" spans="1:113">
      <c r="A29" s="2337"/>
      <c r="B29" s="566" t="s">
        <v>920</v>
      </c>
      <c r="C29" s="567" t="s">
        <v>853</v>
      </c>
      <c r="D29" s="568" t="s">
        <v>921</v>
      </c>
      <c r="E29" s="569">
        <v>512</v>
      </c>
      <c r="F29" s="570">
        <v>3.820141</v>
      </c>
      <c r="G29" s="570">
        <v>0.413414</v>
      </c>
      <c r="H29" s="549">
        <v>563.16570000000002</v>
      </c>
      <c r="I29" s="550">
        <v>160.29859999999999</v>
      </c>
      <c r="J29" s="571" t="s">
        <v>35</v>
      </c>
      <c r="K29" s="572" t="s">
        <v>35</v>
      </c>
      <c r="L29" s="573" t="s">
        <v>853</v>
      </c>
      <c r="M29" s="574" t="s">
        <v>922</v>
      </c>
      <c r="N29" s="575">
        <v>202.93140589999999</v>
      </c>
      <c r="O29" s="576">
        <v>14.74</v>
      </c>
      <c r="P29" s="576">
        <v>13.76441</v>
      </c>
      <c r="Q29" s="577" t="s">
        <v>35</v>
      </c>
      <c r="R29" s="486">
        <f>N29</f>
        <v>202.93140589999999</v>
      </c>
      <c r="S29" s="578" t="s">
        <v>848</v>
      </c>
      <c r="T29" s="488" t="s">
        <v>849</v>
      </c>
      <c r="U29" s="452"/>
      <c r="V29" s="2164"/>
      <c r="W29" s="579" t="s">
        <v>174</v>
      </c>
      <c r="X29" s="580" t="s">
        <v>923</v>
      </c>
      <c r="Y29" s="563">
        <f>$T$35+SUM($R$30:$R$54)+$N$28*2+$N$29*3.5</f>
        <v>495.16598580138771</v>
      </c>
      <c r="Z29" s="563">
        <f>Y29-$Y$28</f>
        <v>28.792142000000013</v>
      </c>
      <c r="AA29" s="581">
        <f>(2-1.26)*$P$28</f>
        <v>5.8900270399999997</v>
      </c>
      <c r="AB29" s="582"/>
      <c r="AC29" s="474" t="s">
        <v>851</v>
      </c>
      <c r="AD29" s="583" t="s">
        <v>795</v>
      </c>
      <c r="AE29" s="584">
        <v>5.9471054870740975E-3</v>
      </c>
      <c r="AF29" s="475"/>
      <c r="AG29" s="476"/>
      <c r="AH29" s="477"/>
      <c r="AI29" s="477"/>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7"/>
      <c r="BF29" s="477"/>
      <c r="BG29" s="477"/>
    </row>
    <row r="30" spans="1:113">
      <c r="A30" s="2337"/>
      <c r="B30" s="2273" t="s">
        <v>924</v>
      </c>
      <c r="C30" s="2287" t="s">
        <v>862</v>
      </c>
      <c r="D30" s="568" t="s">
        <v>840</v>
      </c>
      <c r="E30" s="569">
        <v>154</v>
      </c>
      <c r="F30" s="585" t="s">
        <v>35</v>
      </c>
      <c r="G30" s="585" t="s">
        <v>35</v>
      </c>
      <c r="H30" s="549">
        <v>688.52880000000005</v>
      </c>
      <c r="I30" s="550">
        <v>142.322</v>
      </c>
      <c r="J30" s="571" t="s">
        <v>35</v>
      </c>
      <c r="K30" s="572" t="s">
        <v>35</v>
      </c>
      <c r="L30" s="571" t="s">
        <v>35</v>
      </c>
      <c r="M30" s="572" t="s">
        <v>35</v>
      </c>
      <c r="N30" s="575">
        <v>58.6010043</v>
      </c>
      <c r="O30" s="576">
        <v>6.55</v>
      </c>
      <c r="P30" s="576">
        <v>8.9475119999999997</v>
      </c>
      <c r="Q30" s="586">
        <f>14732/$T$33</f>
        <v>0.13084759612395527</v>
      </c>
      <c r="R30" s="2285">
        <f>SUMPRODUCT(N30:N32,Q30:Q32)</f>
        <v>8.4808667573724428</v>
      </c>
      <c r="S30" s="587" t="s">
        <v>858</v>
      </c>
      <c r="T30" s="511" t="s">
        <v>859</v>
      </c>
      <c r="U30" s="470"/>
      <c r="V30" s="2164"/>
      <c r="W30" s="579" t="s">
        <v>174</v>
      </c>
      <c r="X30" s="580" t="s">
        <v>925</v>
      </c>
      <c r="Y30" s="563">
        <f>$T$35+SUM($R$30:$R$54)+$N$28*2.2+$N$29*3.5</f>
        <v>502.94764580138769</v>
      </c>
      <c r="Z30" s="563">
        <f>Y30-$Y$28</f>
        <v>36.573802000000001</v>
      </c>
      <c r="AA30" s="581">
        <f>(2.2-1.26)*$P$28</f>
        <v>7.4819262400000008</v>
      </c>
      <c r="AB30" s="582"/>
      <c r="AC30" s="588"/>
      <c r="AD30" s="583" t="s">
        <v>861</v>
      </c>
      <c r="AE30" s="584">
        <v>1.6040726850595074E-3</v>
      </c>
      <c r="AF30" s="475"/>
      <c r="AG30" s="476"/>
      <c r="AH30" s="477"/>
      <c r="AI30" s="477"/>
      <c r="AJ30" s="477"/>
      <c r="AK30" s="477"/>
      <c r="AL30" s="477"/>
      <c r="AM30" s="477"/>
      <c r="AN30" s="477"/>
      <c r="AO30" s="477"/>
      <c r="AP30" s="477"/>
      <c r="AQ30" s="477"/>
      <c r="AR30" s="477"/>
      <c r="AS30" s="477"/>
      <c r="AT30" s="477"/>
      <c r="AU30" s="477"/>
      <c r="AV30" s="477"/>
      <c r="AW30" s="477"/>
      <c r="AX30" s="477"/>
      <c r="AY30" s="477"/>
      <c r="AZ30" s="477"/>
      <c r="BA30" s="477"/>
      <c r="BB30" s="477"/>
      <c r="BC30" s="477"/>
      <c r="BD30" s="477"/>
      <c r="BE30" s="477"/>
      <c r="BF30" s="477"/>
      <c r="BG30" s="477"/>
    </row>
    <row r="31" spans="1:113">
      <c r="A31" s="2337"/>
      <c r="B31" s="2273"/>
      <c r="C31" s="2318"/>
      <c r="D31" s="568" t="s">
        <v>64</v>
      </c>
      <c r="E31" s="589">
        <v>334</v>
      </c>
      <c r="F31" s="585" t="s">
        <v>35</v>
      </c>
      <c r="G31" s="585" t="s">
        <v>35</v>
      </c>
      <c r="H31" s="549">
        <v>540.94039999999995</v>
      </c>
      <c r="I31" s="550">
        <v>150.5206</v>
      </c>
      <c r="J31" s="571" t="s">
        <v>35</v>
      </c>
      <c r="K31" s="572" t="s">
        <v>35</v>
      </c>
      <c r="L31" s="571" t="s">
        <v>35</v>
      </c>
      <c r="M31" s="572" t="s">
        <v>35</v>
      </c>
      <c r="N31" s="575">
        <v>0</v>
      </c>
      <c r="O31" s="576" t="s">
        <v>926</v>
      </c>
      <c r="P31" s="576" t="s">
        <v>926</v>
      </c>
      <c r="Q31" s="586">
        <f>96806.62/$T$33</f>
        <v>0.85982307330200991</v>
      </c>
      <c r="R31" s="2285"/>
      <c r="S31" s="567" t="s">
        <v>864</v>
      </c>
      <c r="T31" s="590"/>
      <c r="U31" s="591"/>
      <c r="V31" s="2164"/>
      <c r="W31" s="579" t="s">
        <v>174</v>
      </c>
      <c r="X31" s="580" t="s">
        <v>927</v>
      </c>
      <c r="Y31" s="563">
        <f>$T$35+SUM($R$30:$R$54)+$N$28*2.4+$N$29*3.5</f>
        <v>510.72930580138768</v>
      </c>
      <c r="Z31" s="563">
        <f>Y31-$Y$28</f>
        <v>44.355461999999989</v>
      </c>
      <c r="AA31" s="581">
        <f>(2.4-1.26)*$P$28</f>
        <v>9.0738254399999985</v>
      </c>
      <c r="AB31" s="582"/>
      <c r="AC31" s="525"/>
      <c r="AD31" s="583" t="s">
        <v>866</v>
      </c>
      <c r="AE31" s="584">
        <v>-2.1305220883534089E-2</v>
      </c>
      <c r="AF31" s="475"/>
      <c r="AG31" s="476"/>
      <c r="AH31" s="477"/>
      <c r="AI31" s="477"/>
      <c r="AJ31" s="477"/>
      <c r="AK31" s="477"/>
      <c r="AL31" s="477"/>
      <c r="AM31" s="477"/>
      <c r="AN31" s="477"/>
      <c r="AO31" s="477"/>
      <c r="AP31" s="477"/>
      <c r="AQ31" s="477"/>
      <c r="AR31" s="477"/>
      <c r="AS31" s="477"/>
      <c r="AT31" s="477"/>
      <c r="AU31" s="477"/>
      <c r="AV31" s="477"/>
      <c r="AW31" s="477"/>
      <c r="AX31" s="477"/>
      <c r="AY31" s="477"/>
      <c r="AZ31" s="477"/>
      <c r="BA31" s="477"/>
      <c r="BB31" s="477"/>
      <c r="BC31" s="477"/>
      <c r="BD31" s="477"/>
      <c r="BE31" s="477"/>
      <c r="BF31" s="477"/>
      <c r="BG31" s="477"/>
    </row>
    <row r="32" spans="1:113">
      <c r="A32" s="2337"/>
      <c r="B32" s="2273"/>
      <c r="C32" s="2299"/>
      <c r="D32" s="568" t="s">
        <v>928</v>
      </c>
      <c r="E32" s="487">
        <v>24</v>
      </c>
      <c r="F32" s="585" t="s">
        <v>35</v>
      </c>
      <c r="G32" s="585" t="s">
        <v>35</v>
      </c>
      <c r="H32" s="549">
        <v>853.28989999999999</v>
      </c>
      <c r="I32" s="550">
        <v>178.83680000000001</v>
      </c>
      <c r="J32" s="571" t="s">
        <v>35</v>
      </c>
      <c r="K32" s="572" t="s">
        <v>35</v>
      </c>
      <c r="L32" s="571" t="s">
        <v>35</v>
      </c>
      <c r="M32" s="572" t="s">
        <v>35</v>
      </c>
      <c r="N32" s="575">
        <v>87.151613699999999</v>
      </c>
      <c r="O32" s="576">
        <v>3.54</v>
      </c>
      <c r="P32" s="497"/>
      <c r="Q32" s="586">
        <f>1050.38/$T$33</f>
        <v>9.3293305740347644E-3</v>
      </c>
      <c r="R32" s="2285"/>
      <c r="S32" s="587" t="s">
        <v>868</v>
      </c>
      <c r="T32" s="592" t="s">
        <v>869</v>
      </c>
      <c r="U32" s="560"/>
      <c r="V32" s="2164"/>
      <c r="W32" s="579" t="s">
        <v>175</v>
      </c>
      <c r="X32" s="580" t="s">
        <v>929</v>
      </c>
      <c r="Y32" s="563">
        <f>$T$35+SUM($R$30:$R$54)+$N$28*1.26+$N$29*4</f>
        <v>567.83954675138773</v>
      </c>
      <c r="Z32" s="564" t="s">
        <v>918</v>
      </c>
      <c r="AA32" s="565" t="s">
        <v>918</v>
      </c>
      <c r="AB32" s="454"/>
      <c r="AC32" s="525"/>
      <c r="AD32" s="583" t="s">
        <v>871</v>
      </c>
      <c r="AE32" s="584">
        <v>-0.26769449081803004</v>
      </c>
      <c r="AF32" s="475"/>
      <c r="AG32" s="476"/>
      <c r="AH32" s="477"/>
      <c r="AI32" s="477"/>
      <c r="AJ32" s="477"/>
      <c r="AK32" s="477"/>
      <c r="AL32" s="477"/>
      <c r="AM32" s="477"/>
      <c r="AN32" s="477"/>
      <c r="AO32" s="477"/>
      <c r="AP32" s="477"/>
      <c r="AQ32" s="477"/>
      <c r="AR32" s="477"/>
      <c r="AS32" s="477"/>
      <c r="AT32" s="477"/>
      <c r="AU32" s="477"/>
      <c r="AV32" s="477"/>
      <c r="AW32" s="477"/>
      <c r="AX32" s="477"/>
      <c r="AY32" s="477"/>
      <c r="AZ32" s="477"/>
      <c r="BA32" s="477"/>
      <c r="BB32" s="477"/>
      <c r="BC32" s="477"/>
      <c r="BD32" s="477"/>
      <c r="BE32" s="477"/>
      <c r="BF32" s="477"/>
      <c r="BG32" s="477"/>
    </row>
    <row r="33" spans="1:59">
      <c r="A33" s="2337"/>
      <c r="B33" s="2348" t="s">
        <v>880</v>
      </c>
      <c r="C33" s="2287" t="s">
        <v>862</v>
      </c>
      <c r="D33" s="568">
        <v>1</v>
      </c>
      <c r="E33" s="569">
        <v>137</v>
      </c>
      <c r="F33" s="585" t="s">
        <v>35</v>
      </c>
      <c r="G33" s="585" t="s">
        <v>35</v>
      </c>
      <c r="H33" s="549">
        <v>533.99180000000001</v>
      </c>
      <c r="I33" s="550">
        <v>161.2261</v>
      </c>
      <c r="J33" s="571" t="s">
        <v>35</v>
      </c>
      <c r="K33" s="572" t="s">
        <v>35</v>
      </c>
      <c r="L33" s="571" t="s">
        <v>35</v>
      </c>
      <c r="M33" s="572" t="s">
        <v>35</v>
      </c>
      <c r="N33" s="593">
        <v>-17.0743136</v>
      </c>
      <c r="O33" s="594">
        <v>-2.37</v>
      </c>
      <c r="P33" s="594">
        <v>7.2063759999999997</v>
      </c>
      <c r="Q33" s="586">
        <f>20912/$T$33</f>
        <v>0.1857375054401407</v>
      </c>
      <c r="R33" s="2289">
        <f>SUMPRODUCT(N33:N36,Q33:Q36)</f>
        <v>7.2902044222783751</v>
      </c>
      <c r="S33" s="595">
        <v>512</v>
      </c>
      <c r="T33" s="596">
        <v>112589</v>
      </c>
      <c r="U33" s="597"/>
      <c r="V33" s="2164"/>
      <c r="W33" s="579" t="s">
        <v>174</v>
      </c>
      <c r="X33" s="580" t="s">
        <v>930</v>
      </c>
      <c r="Y33" s="563">
        <f>$T$35+SUM($R$30:$R$54)+$N$28*2+$N$29*4</f>
        <v>596.63168875138774</v>
      </c>
      <c r="Z33" s="563">
        <f>Y33-$Y$32</f>
        <v>28.792142000000013</v>
      </c>
      <c r="AA33" s="581">
        <f>(2-1.26)*$P$28</f>
        <v>5.8900270399999997</v>
      </c>
      <c r="AB33" s="582"/>
      <c r="AC33" s="525"/>
      <c r="AD33" s="583" t="s">
        <v>931</v>
      </c>
      <c r="AE33" s="584">
        <v>0.21317878552681049</v>
      </c>
      <c r="AF33" s="475"/>
      <c r="AG33" s="476"/>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row>
    <row r="34" spans="1:59">
      <c r="A34" s="2337"/>
      <c r="B34" s="2349"/>
      <c r="C34" s="2318"/>
      <c r="D34" s="568">
        <v>2</v>
      </c>
      <c r="E34" s="569">
        <v>134</v>
      </c>
      <c r="F34" s="585" t="s">
        <v>35</v>
      </c>
      <c r="G34" s="585" t="s">
        <v>35</v>
      </c>
      <c r="H34" s="549">
        <v>563.75109999999995</v>
      </c>
      <c r="I34" s="550">
        <v>154.75540000000001</v>
      </c>
      <c r="J34" s="571" t="s">
        <v>35</v>
      </c>
      <c r="K34" s="572" t="s">
        <v>35</v>
      </c>
      <c r="L34" s="571" t="s">
        <v>35</v>
      </c>
      <c r="M34" s="572" t="s">
        <v>35</v>
      </c>
      <c r="N34" s="593">
        <v>10.5611347</v>
      </c>
      <c r="O34" s="594">
        <v>1.6</v>
      </c>
      <c r="P34" s="594">
        <v>6.6019139999999998</v>
      </c>
      <c r="Q34" s="586">
        <f>29149/$T$33</f>
        <v>0.25889740560800789</v>
      </c>
      <c r="R34" s="2329"/>
      <c r="S34" s="587" t="s">
        <v>876</v>
      </c>
      <c r="T34" s="592" t="s">
        <v>877</v>
      </c>
      <c r="U34" s="560"/>
      <c r="V34" s="2164"/>
      <c r="W34" s="579" t="s">
        <v>174</v>
      </c>
      <c r="X34" s="580" t="s">
        <v>932</v>
      </c>
      <c r="Y34" s="563">
        <f>$T$35+SUM($R$30:$R$54)+$N$28*2.2+$N$29*4</f>
        <v>604.41334875138773</v>
      </c>
      <c r="Z34" s="563">
        <f>Y34-$Y$32</f>
        <v>36.573802000000001</v>
      </c>
      <c r="AA34" s="581">
        <f>(2.2-1.26)*$P$28</f>
        <v>7.4819262400000008</v>
      </c>
      <c r="AB34" s="582"/>
      <c r="AC34" s="525"/>
      <c r="AD34" s="583" t="s">
        <v>879</v>
      </c>
      <c r="AE34" s="584">
        <v>4.5445194598685873E-2</v>
      </c>
      <c r="AF34" s="475"/>
      <c r="AG34" s="476"/>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row>
    <row r="35" spans="1:59">
      <c r="A35" s="2337"/>
      <c r="B35" s="2349"/>
      <c r="C35" s="2318"/>
      <c r="D35" s="568">
        <v>3</v>
      </c>
      <c r="E35" s="569">
        <v>127</v>
      </c>
      <c r="F35" s="585" t="s">
        <v>35</v>
      </c>
      <c r="G35" s="585" t="s">
        <v>35</v>
      </c>
      <c r="H35" s="549">
        <v>581.40660000000003</v>
      </c>
      <c r="I35" s="550">
        <v>164.5461</v>
      </c>
      <c r="J35" s="571" t="s">
        <v>35</v>
      </c>
      <c r="K35" s="572" t="s">
        <v>35</v>
      </c>
      <c r="L35" s="571" t="s">
        <v>35</v>
      </c>
      <c r="M35" s="572" t="s">
        <v>35</v>
      </c>
      <c r="N35" s="593">
        <v>23.7111184</v>
      </c>
      <c r="O35" s="594">
        <v>3.83</v>
      </c>
      <c r="P35" s="594">
        <v>6.1830170000000004</v>
      </c>
      <c r="Q35" s="586">
        <f>36692/$T$33</f>
        <v>0.32589329330574035</v>
      </c>
      <c r="R35" s="2329"/>
      <c r="S35" s="598">
        <v>0.90348600000000001</v>
      </c>
      <c r="T35" s="599">
        <v>-400.44664540000002</v>
      </c>
      <c r="U35" s="600"/>
      <c r="V35" s="2164"/>
      <c r="W35" s="579" t="s">
        <v>174</v>
      </c>
      <c r="X35" s="580" t="s">
        <v>933</v>
      </c>
      <c r="Y35" s="563">
        <f>$T$35+SUM($R$30:$R$54)+$N$28*2.4+$N$29*4</f>
        <v>612.19500875138772</v>
      </c>
      <c r="Z35" s="563">
        <f>Y35-$Y$32</f>
        <v>44.355461999999989</v>
      </c>
      <c r="AA35" s="581">
        <f>(2.4-1.26)*$P$28</f>
        <v>9.0738254399999985</v>
      </c>
      <c r="AB35" s="582"/>
      <c r="AC35" s="525"/>
      <c r="AD35" s="583" t="s">
        <v>882</v>
      </c>
      <c r="AE35" s="584">
        <v>7.4943403311082673</v>
      </c>
      <c r="AF35" s="475"/>
      <c r="AG35" s="476"/>
      <c r="AH35" s="477"/>
      <c r="AI35" s="477"/>
      <c r="AJ35" s="477"/>
      <c r="AK35" s="477"/>
      <c r="AL35" s="477"/>
      <c r="AM35" s="477"/>
      <c r="AN35" s="477"/>
      <c r="AO35" s="477"/>
      <c r="AP35" s="477"/>
      <c r="AQ35" s="477"/>
      <c r="AR35" s="477"/>
      <c r="AS35" s="477"/>
      <c r="AT35" s="477"/>
      <c r="AU35" s="477"/>
      <c r="AV35" s="477"/>
      <c r="AW35" s="477"/>
      <c r="AX35" s="477"/>
      <c r="AY35" s="477"/>
      <c r="AZ35" s="477"/>
      <c r="BA35" s="477"/>
      <c r="BB35" s="477"/>
      <c r="BC35" s="477"/>
      <c r="BD35" s="477"/>
      <c r="BE35" s="477"/>
      <c r="BF35" s="477"/>
      <c r="BG35" s="477"/>
    </row>
    <row r="36" spans="1:59">
      <c r="A36" s="2337"/>
      <c r="B36" s="2350"/>
      <c r="C36" s="2299"/>
      <c r="D36" s="568">
        <v>4</v>
      </c>
      <c r="E36" s="589">
        <v>114</v>
      </c>
      <c r="F36" s="585" t="s">
        <v>35</v>
      </c>
      <c r="G36" s="585" t="s">
        <v>35</v>
      </c>
      <c r="H36" s="549">
        <v>560.21289999999999</v>
      </c>
      <c r="I36" s="550">
        <v>155.8672</v>
      </c>
      <c r="J36" s="571" t="s">
        <v>35</v>
      </c>
      <c r="K36" s="572" t="s">
        <v>35</v>
      </c>
      <c r="L36" s="571" t="s">
        <v>35</v>
      </c>
      <c r="M36" s="572" t="s">
        <v>35</v>
      </c>
      <c r="N36" s="593">
        <v>0</v>
      </c>
      <c r="O36" s="594" t="s">
        <v>926</v>
      </c>
      <c r="P36" s="594" t="s">
        <v>926</v>
      </c>
      <c r="Q36" s="586">
        <f>25836/$T$33</f>
        <v>0.22947179564611109</v>
      </c>
      <c r="R36" s="2301"/>
      <c r="S36" s="601" t="s">
        <v>883</v>
      </c>
      <c r="T36" s="511" t="s">
        <v>884</v>
      </c>
      <c r="U36" s="470"/>
      <c r="V36" s="524"/>
      <c r="W36" s="525"/>
      <c r="X36" s="525"/>
      <c r="Y36" s="515"/>
      <c r="Z36" s="522"/>
      <c r="AA36" s="522"/>
      <c r="AB36" s="454"/>
      <c r="AC36" s="525"/>
      <c r="AD36" s="583" t="s">
        <v>886</v>
      </c>
      <c r="AE36" s="584">
        <v>1.5301852504169808</v>
      </c>
      <c r="AF36" s="475"/>
      <c r="AG36" s="476"/>
      <c r="AH36" s="477"/>
      <c r="AI36" s="477"/>
      <c r="AJ36" s="477"/>
      <c r="AK36" s="477"/>
      <c r="AL36" s="477"/>
      <c r="AM36" s="477"/>
      <c r="AN36" s="477"/>
      <c r="AO36" s="477"/>
      <c r="AP36" s="477"/>
      <c r="AQ36" s="477"/>
      <c r="AR36" s="477"/>
      <c r="AS36" s="477"/>
      <c r="AT36" s="477"/>
      <c r="AU36" s="477"/>
      <c r="AV36" s="477"/>
      <c r="AW36" s="477"/>
      <c r="AX36" s="477"/>
      <c r="AY36" s="477"/>
      <c r="AZ36" s="477"/>
      <c r="BA36" s="477"/>
      <c r="BB36" s="477"/>
      <c r="BC36" s="477"/>
      <c r="BD36" s="477"/>
      <c r="BE36" s="477"/>
      <c r="BF36" s="477"/>
      <c r="BG36" s="477"/>
    </row>
    <row r="37" spans="1:59">
      <c r="A37" s="2337"/>
      <c r="B37" s="2273" t="s">
        <v>934</v>
      </c>
      <c r="C37" s="2287" t="s">
        <v>839</v>
      </c>
      <c r="D37" s="568" t="s">
        <v>840</v>
      </c>
      <c r="E37" s="569">
        <v>255</v>
      </c>
      <c r="F37" s="585" t="s">
        <v>35</v>
      </c>
      <c r="G37" s="585" t="s">
        <v>35</v>
      </c>
      <c r="H37" s="549">
        <v>701.44569999999999</v>
      </c>
      <c r="I37" s="550">
        <v>148.32509999999999</v>
      </c>
      <c r="J37" s="571" t="s">
        <v>35</v>
      </c>
      <c r="K37" s="572" t="s">
        <v>35</v>
      </c>
      <c r="L37" s="571" t="s">
        <v>35</v>
      </c>
      <c r="M37" s="572" t="s">
        <v>35</v>
      </c>
      <c r="N37" s="575">
        <v>44.526333200000003</v>
      </c>
      <c r="O37" s="576">
        <v>6.2</v>
      </c>
      <c r="P37" s="576">
        <v>7.1766560000000004</v>
      </c>
      <c r="Q37" s="586">
        <f>47403/$T$33</f>
        <v>0.4210269209247795</v>
      </c>
      <c r="R37" s="2285">
        <f>SUMPRODUCT(N37:N38,Q37:Q38)</f>
        <v>18.746784967266784</v>
      </c>
      <c r="S37" s="602">
        <v>111.074</v>
      </c>
      <c r="T37" s="513" t="s">
        <v>35</v>
      </c>
      <c r="U37" s="603"/>
      <c r="V37" s="524"/>
      <c r="W37" s="525"/>
      <c r="X37" s="525"/>
      <c r="Y37" s="515"/>
      <c r="Z37" s="515"/>
      <c r="AA37" s="515"/>
      <c r="AB37" s="454"/>
      <c r="AC37" s="525"/>
      <c r="AD37" s="583" t="s">
        <v>888</v>
      </c>
      <c r="AE37" s="584">
        <v>4.1012648345698564</v>
      </c>
      <c r="AF37" s="475"/>
      <c r="AG37" s="476"/>
      <c r="AH37" s="477"/>
      <c r="AI37" s="477"/>
      <c r="AJ37" s="477"/>
      <c r="AK37" s="477"/>
      <c r="AL37" s="477"/>
      <c r="AM37" s="477"/>
      <c r="AN37" s="477"/>
      <c r="AO37" s="477"/>
      <c r="AP37" s="477"/>
      <c r="AQ37" s="477"/>
      <c r="AR37" s="477"/>
      <c r="AS37" s="477"/>
      <c r="AT37" s="477"/>
      <c r="AU37" s="477"/>
      <c r="AV37" s="477"/>
      <c r="AW37" s="477"/>
      <c r="AX37" s="477"/>
      <c r="AY37" s="477"/>
      <c r="AZ37" s="477"/>
      <c r="BA37" s="477"/>
      <c r="BB37" s="477"/>
      <c r="BC37" s="477"/>
      <c r="BD37" s="477"/>
      <c r="BE37" s="477"/>
      <c r="BF37" s="477"/>
      <c r="BG37" s="477"/>
    </row>
    <row r="38" spans="1:59">
      <c r="A38" s="2337"/>
      <c r="B38" s="2273"/>
      <c r="C38" s="2299"/>
      <c r="D38" s="568" t="s">
        <v>64</v>
      </c>
      <c r="E38" s="589">
        <v>257</v>
      </c>
      <c r="F38" s="585" t="s">
        <v>35</v>
      </c>
      <c r="G38" s="585" t="s">
        <v>35</v>
      </c>
      <c r="H38" s="549">
        <v>462.60950000000003</v>
      </c>
      <c r="I38" s="550">
        <v>66.078680000000006</v>
      </c>
      <c r="J38" s="571" t="s">
        <v>35</v>
      </c>
      <c r="K38" s="572" t="s">
        <v>35</v>
      </c>
      <c r="L38" s="571" t="s">
        <v>35</v>
      </c>
      <c r="M38" s="572" t="s">
        <v>35</v>
      </c>
      <c r="N38" s="575">
        <v>0</v>
      </c>
      <c r="O38" s="576" t="s">
        <v>926</v>
      </c>
      <c r="P38" s="576" t="s">
        <v>926</v>
      </c>
      <c r="Q38" s="586">
        <f>65186/$T$33</f>
        <v>0.57897307907522044</v>
      </c>
      <c r="R38" s="2285"/>
      <c r="S38" s="604"/>
      <c r="T38" s="605"/>
      <c r="U38" s="606"/>
      <c r="V38" s="524"/>
      <c r="W38" s="525"/>
      <c r="X38" s="525"/>
      <c r="Y38" s="515"/>
      <c r="Z38" s="515"/>
      <c r="AA38" s="515"/>
      <c r="AB38" s="454"/>
      <c r="AC38" s="525"/>
      <c r="AD38" s="583" t="s">
        <v>890</v>
      </c>
      <c r="AE38" s="584">
        <v>-0.94780511893004604</v>
      </c>
      <c r="AF38" s="475"/>
      <c r="AG38" s="476"/>
      <c r="AH38" s="477"/>
      <c r="AI38" s="477"/>
      <c r="AJ38" s="477"/>
      <c r="AK38" s="477"/>
      <c r="AL38" s="477"/>
      <c r="AM38" s="477"/>
      <c r="AN38" s="477"/>
      <c r="AO38" s="477"/>
      <c r="AP38" s="477"/>
      <c r="AQ38" s="477"/>
      <c r="AR38" s="477"/>
      <c r="AS38" s="477"/>
      <c r="AT38" s="477"/>
      <c r="AU38" s="477"/>
      <c r="AV38" s="477"/>
      <c r="AW38" s="477"/>
      <c r="AX38" s="477"/>
      <c r="AY38" s="477"/>
      <c r="AZ38" s="477"/>
      <c r="BA38" s="477"/>
      <c r="BB38" s="477"/>
      <c r="BC38" s="477"/>
      <c r="BD38" s="477"/>
      <c r="BE38" s="477"/>
      <c r="BF38" s="477"/>
      <c r="BG38" s="477"/>
    </row>
    <row r="39" spans="1:59">
      <c r="A39" s="2337"/>
      <c r="B39" s="2273" t="s">
        <v>547</v>
      </c>
      <c r="C39" s="2287" t="s">
        <v>862</v>
      </c>
      <c r="D39" s="568" t="s">
        <v>935</v>
      </c>
      <c r="E39" s="607">
        <v>18</v>
      </c>
      <c r="F39" s="585" t="s">
        <v>35</v>
      </c>
      <c r="G39" s="585" t="s">
        <v>35</v>
      </c>
      <c r="H39" s="549">
        <v>410.0197</v>
      </c>
      <c r="I39" s="550">
        <v>21.60773</v>
      </c>
      <c r="J39" s="571" t="s">
        <v>35</v>
      </c>
      <c r="K39" s="572" t="s">
        <v>35</v>
      </c>
      <c r="L39" s="571" t="s">
        <v>35</v>
      </c>
      <c r="M39" s="572" t="s">
        <v>35</v>
      </c>
      <c r="N39" s="575">
        <v>-12.4411656</v>
      </c>
      <c r="O39" s="576">
        <v>-0.31</v>
      </c>
      <c r="P39" s="576">
        <v>40.224206000000002</v>
      </c>
      <c r="Q39" s="586">
        <f>399/$T$33</f>
        <v>3.5438630772100296E-3</v>
      </c>
      <c r="R39" s="2285">
        <f>SUMPRODUCT(N39:N47,Q39:Q47)</f>
        <v>-5.0418693224089406</v>
      </c>
      <c r="S39" s="604"/>
      <c r="T39" s="605"/>
      <c r="U39" s="606"/>
      <c r="V39" s="524"/>
      <c r="W39" s="525"/>
      <c r="X39" s="525"/>
      <c r="Y39" s="515"/>
      <c r="Z39" s="515"/>
      <c r="AA39" s="515"/>
      <c r="AB39" s="454"/>
      <c r="AC39" s="525"/>
      <c r="AD39" s="583" t="s">
        <v>894</v>
      </c>
      <c r="AE39" s="584">
        <v>3.1534597156398103</v>
      </c>
      <c r="AF39" s="475"/>
      <c r="AG39" s="476"/>
      <c r="AH39" s="477"/>
      <c r="AI39" s="477"/>
      <c r="AJ39" s="477"/>
      <c r="AK39" s="477"/>
      <c r="AL39" s="477"/>
      <c r="AM39" s="477"/>
      <c r="AN39" s="477"/>
      <c r="AO39" s="477"/>
      <c r="AP39" s="477"/>
      <c r="AQ39" s="477"/>
      <c r="AR39" s="477"/>
      <c r="AS39" s="477"/>
      <c r="AT39" s="477"/>
      <c r="AU39" s="477"/>
      <c r="AV39" s="477"/>
      <c r="AW39" s="477"/>
      <c r="AX39" s="477"/>
      <c r="AY39" s="477"/>
      <c r="AZ39" s="477"/>
      <c r="BA39" s="477"/>
      <c r="BB39" s="477"/>
      <c r="BC39" s="477"/>
      <c r="BD39" s="477"/>
      <c r="BE39" s="477"/>
      <c r="BF39" s="477"/>
      <c r="BG39" s="477"/>
    </row>
    <row r="40" spans="1:59">
      <c r="A40" s="2337"/>
      <c r="B40" s="2273"/>
      <c r="C40" s="2318"/>
      <c r="D40" s="568" t="s">
        <v>936</v>
      </c>
      <c r="E40" s="607">
        <v>6</v>
      </c>
      <c r="F40" s="585" t="s">
        <v>35</v>
      </c>
      <c r="G40" s="585" t="s">
        <v>35</v>
      </c>
      <c r="H40" s="549">
        <v>296.67540000000002</v>
      </c>
      <c r="I40" s="550">
        <v>33.86036</v>
      </c>
      <c r="J40" s="571" t="s">
        <v>35</v>
      </c>
      <c r="K40" s="572" t="s">
        <v>35</v>
      </c>
      <c r="L40" s="571" t="s">
        <v>35</v>
      </c>
      <c r="M40" s="572" t="s">
        <v>35</v>
      </c>
      <c r="N40" s="575">
        <v>-12.6047583</v>
      </c>
      <c r="O40" s="576">
        <v>-0.01</v>
      </c>
      <c r="P40" s="576">
        <v>1105.3717979999999</v>
      </c>
      <c r="Q40" s="586">
        <v>0</v>
      </c>
      <c r="R40" s="2285"/>
      <c r="S40" s="604"/>
      <c r="T40" s="605"/>
      <c r="U40" s="606"/>
      <c r="V40" s="524"/>
      <c r="W40" s="525"/>
      <c r="X40" s="525"/>
      <c r="Y40" s="515"/>
      <c r="Z40" s="515"/>
      <c r="AA40" s="515"/>
      <c r="AB40" s="454"/>
      <c r="AC40" s="525"/>
      <c r="AD40" s="583" t="s">
        <v>897</v>
      </c>
      <c r="AE40" s="584">
        <v>105.03777711270271</v>
      </c>
      <c r="AF40" s="475"/>
      <c r="AG40" s="476"/>
      <c r="AH40" s="477"/>
      <c r="AI40" s="477"/>
      <c r="AJ40" s="477"/>
      <c r="AK40" s="477"/>
      <c r="AL40" s="477"/>
      <c r="AM40" s="477"/>
      <c r="AN40" s="477"/>
      <c r="AO40" s="477"/>
      <c r="AP40" s="477"/>
      <c r="AQ40" s="477"/>
      <c r="AR40" s="477"/>
      <c r="AS40" s="477"/>
      <c r="AT40" s="477"/>
      <c r="AU40" s="477"/>
      <c r="AV40" s="477"/>
      <c r="AW40" s="477"/>
      <c r="AX40" s="477"/>
      <c r="AY40" s="477"/>
      <c r="AZ40" s="477"/>
      <c r="BA40" s="477"/>
      <c r="BB40" s="477"/>
      <c r="BC40" s="477"/>
      <c r="BD40" s="477"/>
      <c r="BE40" s="477"/>
      <c r="BF40" s="477"/>
      <c r="BG40" s="477"/>
    </row>
    <row r="41" spans="1:59">
      <c r="A41" s="2337"/>
      <c r="B41" s="2273"/>
      <c r="C41" s="2318"/>
      <c r="D41" s="568" t="s">
        <v>937</v>
      </c>
      <c r="E41" s="607">
        <v>32</v>
      </c>
      <c r="F41" s="585" t="s">
        <v>35</v>
      </c>
      <c r="G41" s="585" t="s">
        <v>35</v>
      </c>
      <c r="H41" s="549">
        <v>535.44299999999998</v>
      </c>
      <c r="I41" s="550">
        <v>84.397959999999998</v>
      </c>
      <c r="J41" s="571" t="s">
        <v>35</v>
      </c>
      <c r="K41" s="572" t="s">
        <v>35</v>
      </c>
      <c r="L41" s="571" t="s">
        <v>35</v>
      </c>
      <c r="M41" s="572" t="s">
        <v>35</v>
      </c>
      <c r="N41" s="575">
        <v>-125.21864309999999</v>
      </c>
      <c r="O41" s="576">
        <v>-4.17</v>
      </c>
      <c r="P41" s="576">
        <v>30.033887</v>
      </c>
      <c r="Q41" s="586">
        <f>672/$T$33</f>
        <v>5.9686114984589967E-3</v>
      </c>
      <c r="R41" s="2285"/>
      <c r="S41" s="604"/>
      <c r="T41" s="605"/>
      <c r="U41" s="606"/>
      <c r="V41" s="524"/>
      <c r="W41" s="525"/>
      <c r="X41" s="525"/>
      <c r="Y41" s="515"/>
      <c r="Z41" s="515"/>
      <c r="AA41" s="515"/>
      <c r="AB41" s="454"/>
      <c r="AC41" s="525"/>
      <c r="AD41" s="583" t="s">
        <v>794</v>
      </c>
      <c r="AE41" s="584">
        <v>17662</v>
      </c>
      <c r="AF41" s="475"/>
      <c r="AG41" s="476"/>
      <c r="AH41" s="477"/>
      <c r="AI41" s="477"/>
      <c r="AJ41" s="477"/>
      <c r="AK41" s="477"/>
      <c r="AL41" s="477"/>
      <c r="AM41" s="477"/>
      <c r="AN41" s="477"/>
      <c r="AO41" s="477"/>
      <c r="AP41" s="477"/>
      <c r="AQ41" s="477"/>
      <c r="AR41" s="477"/>
      <c r="AS41" s="477"/>
      <c r="AT41" s="477"/>
      <c r="AU41" s="477"/>
      <c r="AV41" s="477"/>
      <c r="AW41" s="477"/>
      <c r="AX41" s="477"/>
      <c r="AY41" s="477"/>
      <c r="AZ41" s="477"/>
      <c r="BA41" s="477"/>
      <c r="BB41" s="477"/>
      <c r="BC41" s="477"/>
      <c r="BD41" s="477"/>
      <c r="BE41" s="477"/>
      <c r="BF41" s="477"/>
      <c r="BG41" s="477"/>
    </row>
    <row r="42" spans="1:59">
      <c r="A42" s="2337"/>
      <c r="B42" s="2273"/>
      <c r="C42" s="2318"/>
      <c r="D42" s="568" t="s">
        <v>938</v>
      </c>
      <c r="E42" s="569">
        <v>179</v>
      </c>
      <c r="F42" s="585" t="s">
        <v>35</v>
      </c>
      <c r="G42" s="585" t="s">
        <v>35</v>
      </c>
      <c r="H42" s="549">
        <v>469.31509999999997</v>
      </c>
      <c r="I42" s="550">
        <v>89.109710000000007</v>
      </c>
      <c r="J42" s="571" t="s">
        <v>35</v>
      </c>
      <c r="K42" s="572" t="s">
        <v>35</v>
      </c>
      <c r="L42" s="571" t="s">
        <v>35</v>
      </c>
      <c r="M42" s="572" t="s">
        <v>35</v>
      </c>
      <c r="N42" s="575">
        <v>-55.487260599999999</v>
      </c>
      <c r="O42" s="576">
        <v>-8.5299999999999994</v>
      </c>
      <c r="P42" s="576">
        <v>6.5079469999999997</v>
      </c>
      <c r="Q42" s="586">
        <f>24482/$T$33</f>
        <v>0.2174457540257041</v>
      </c>
      <c r="R42" s="2285"/>
      <c r="S42" s="604"/>
      <c r="T42" s="605"/>
      <c r="U42" s="606"/>
      <c r="V42" s="524"/>
      <c r="W42" s="525"/>
      <c r="X42" s="525"/>
      <c r="Y42" s="515"/>
      <c r="Z42" s="515"/>
      <c r="AA42" s="515"/>
      <c r="AB42" s="454"/>
      <c r="AC42" s="525"/>
      <c r="AD42" s="583" t="s">
        <v>939</v>
      </c>
      <c r="AE42" s="584">
        <v>3.144140169011404E-3</v>
      </c>
      <c r="AF42" s="475"/>
      <c r="AG42" s="476"/>
      <c r="AH42" s="477"/>
      <c r="AI42" s="477"/>
      <c r="AJ42" s="477"/>
      <c r="AK42" s="477"/>
      <c r="AL42" s="477"/>
      <c r="AM42" s="477"/>
      <c r="AN42" s="477"/>
      <c r="AO42" s="477"/>
      <c r="AP42" s="477"/>
      <c r="AQ42" s="477"/>
      <c r="AR42" s="477"/>
      <c r="AS42" s="477"/>
      <c r="AT42" s="477"/>
      <c r="AU42" s="477"/>
      <c r="AV42" s="477"/>
      <c r="AW42" s="477"/>
      <c r="AX42" s="477"/>
      <c r="AY42" s="477"/>
      <c r="AZ42" s="477"/>
      <c r="BA42" s="477"/>
      <c r="BB42" s="477"/>
      <c r="BC42" s="477"/>
      <c r="BD42" s="477"/>
      <c r="BE42" s="477"/>
      <c r="BF42" s="477"/>
      <c r="BG42" s="477"/>
    </row>
    <row r="43" spans="1:59">
      <c r="A43" s="2337"/>
      <c r="B43" s="2273"/>
      <c r="C43" s="2318"/>
      <c r="D43" s="568" t="s">
        <v>940</v>
      </c>
      <c r="E43" s="569">
        <v>8</v>
      </c>
      <c r="F43" s="585" t="s">
        <v>35</v>
      </c>
      <c r="G43" s="585" t="s">
        <v>35</v>
      </c>
      <c r="H43" s="549">
        <v>349.90629999999999</v>
      </c>
      <c r="I43" s="550">
        <v>7.8537730000000003</v>
      </c>
      <c r="J43" s="571" t="s">
        <v>35</v>
      </c>
      <c r="K43" s="572" t="s">
        <v>35</v>
      </c>
      <c r="L43" s="571" t="s">
        <v>35</v>
      </c>
      <c r="M43" s="572" t="s">
        <v>35</v>
      </c>
      <c r="N43" s="575">
        <v>-52.842997099999998</v>
      </c>
      <c r="O43" s="576">
        <v>-3.39</v>
      </c>
      <c r="P43" s="576">
        <v>15.590743</v>
      </c>
      <c r="Q43" s="586">
        <f>2892/$T$33</f>
        <v>2.5686345913011041E-2</v>
      </c>
      <c r="R43" s="2285"/>
      <c r="S43" s="604"/>
      <c r="T43" s="605"/>
      <c r="U43" s="606"/>
      <c r="V43" s="524"/>
      <c r="W43" s="525"/>
      <c r="X43" s="525"/>
      <c r="Y43" s="515"/>
      <c r="Z43" s="515"/>
      <c r="AA43" s="515"/>
      <c r="AB43" s="454"/>
      <c r="AC43" s="525"/>
      <c r="AD43" s="525"/>
      <c r="AE43" s="525"/>
      <c r="AF43" s="475"/>
      <c r="AG43" s="476"/>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row>
    <row r="44" spans="1:59">
      <c r="A44" s="2337"/>
      <c r="B44" s="2273"/>
      <c r="C44" s="2318"/>
      <c r="D44" s="568" t="s">
        <v>941</v>
      </c>
      <c r="E44" s="569">
        <v>12</v>
      </c>
      <c r="F44" s="585" t="s">
        <v>35</v>
      </c>
      <c r="G44" s="585" t="s">
        <v>35</v>
      </c>
      <c r="H44" s="549">
        <v>838.33339999999998</v>
      </c>
      <c r="I44" s="550">
        <v>79.336799999999997</v>
      </c>
      <c r="J44" s="571" t="s">
        <v>35</v>
      </c>
      <c r="K44" s="572" t="s">
        <v>35</v>
      </c>
      <c r="L44" s="571" t="s">
        <v>35</v>
      </c>
      <c r="M44" s="572" t="s">
        <v>35</v>
      </c>
      <c r="N44" s="575">
        <v>69.566997499999999</v>
      </c>
      <c r="O44" s="576">
        <v>5.0599999999999996</v>
      </c>
      <c r="P44" s="576">
        <v>13.752298</v>
      </c>
      <c r="Q44" s="586">
        <f>9597/$T$33</f>
        <v>8.5239232962367545E-2</v>
      </c>
      <c r="R44" s="2285"/>
      <c r="S44" s="604"/>
      <c r="T44" s="605"/>
      <c r="U44" s="606"/>
      <c r="V44" s="524"/>
      <c r="W44" s="525"/>
      <c r="X44" s="525"/>
      <c r="Y44" s="515"/>
      <c r="Z44" s="515"/>
      <c r="AA44" s="515"/>
      <c r="AB44" s="454"/>
      <c r="AC44" s="525"/>
      <c r="AD44" s="525"/>
      <c r="AE44" s="525"/>
      <c r="AF44" s="475"/>
      <c r="AG44" s="476"/>
      <c r="AH44" s="477"/>
      <c r="AI44" s="477"/>
      <c r="AJ44" s="477"/>
      <c r="AK44" s="477"/>
      <c r="AL44" s="477"/>
      <c r="AM44" s="477"/>
      <c r="AN44" s="477"/>
      <c r="AO44" s="477"/>
      <c r="AP44" s="477"/>
      <c r="AQ44" s="477"/>
      <c r="AR44" s="477"/>
      <c r="AS44" s="477"/>
      <c r="AT44" s="477"/>
      <c r="AU44" s="477"/>
      <c r="AV44" s="477"/>
      <c r="AW44" s="477"/>
      <c r="AX44" s="477"/>
      <c r="AY44" s="477"/>
      <c r="AZ44" s="477"/>
      <c r="BA44" s="477"/>
      <c r="BB44" s="477"/>
      <c r="BC44" s="477"/>
      <c r="BD44" s="477"/>
      <c r="BE44" s="477"/>
      <c r="BF44" s="477"/>
      <c r="BG44" s="477"/>
    </row>
    <row r="45" spans="1:59">
      <c r="A45" s="2337"/>
      <c r="B45" s="2273"/>
      <c r="C45" s="2318"/>
      <c r="D45" s="568" t="s">
        <v>942</v>
      </c>
      <c r="E45" s="569">
        <v>93</v>
      </c>
      <c r="F45" s="585" t="s">
        <v>35</v>
      </c>
      <c r="G45" s="585" t="s">
        <v>35</v>
      </c>
      <c r="H45" s="549">
        <v>557.19709999999998</v>
      </c>
      <c r="I45" s="550">
        <v>94.438400000000001</v>
      </c>
      <c r="J45" s="571" t="s">
        <v>35</v>
      </c>
      <c r="K45" s="572" t="s">
        <v>35</v>
      </c>
      <c r="L45" s="571" t="s">
        <v>35</v>
      </c>
      <c r="M45" s="572" t="s">
        <v>35</v>
      </c>
      <c r="N45" s="575">
        <v>9.1364014000000005</v>
      </c>
      <c r="O45" s="576">
        <v>1.35</v>
      </c>
      <c r="P45" s="576">
        <v>6.7471870000000003</v>
      </c>
      <c r="Q45" s="586">
        <f>21912/$T$33</f>
        <v>0.19461936778903802</v>
      </c>
      <c r="R45" s="2285"/>
      <c r="S45" s="604"/>
      <c r="T45" s="605"/>
      <c r="U45" s="606"/>
      <c r="V45" s="524"/>
      <c r="W45" s="525"/>
      <c r="X45" s="525"/>
      <c r="Y45" s="515"/>
      <c r="Z45" s="515"/>
      <c r="AA45" s="515"/>
      <c r="AB45" s="454"/>
      <c r="AC45" s="525"/>
      <c r="AD45" s="525"/>
      <c r="AE45" s="525"/>
      <c r="AF45" s="475"/>
      <c r="AG45" s="476"/>
      <c r="AH45" s="477"/>
      <c r="AI45" s="477"/>
      <c r="AJ45" s="477"/>
      <c r="AK45" s="477"/>
      <c r="AL45" s="477"/>
      <c r="AM45" s="477"/>
      <c r="AN45" s="477"/>
      <c r="AO45" s="477"/>
      <c r="AP45" s="477"/>
      <c r="AQ45" s="477"/>
      <c r="AR45" s="477"/>
      <c r="AS45" s="477"/>
      <c r="AT45" s="477"/>
      <c r="AU45" s="477"/>
      <c r="AV45" s="477"/>
      <c r="AW45" s="477"/>
      <c r="AX45" s="477"/>
      <c r="AY45" s="477"/>
      <c r="AZ45" s="477"/>
      <c r="BA45" s="477"/>
      <c r="BB45" s="477"/>
      <c r="BC45" s="477"/>
      <c r="BD45" s="477"/>
      <c r="BE45" s="477"/>
      <c r="BF45" s="477"/>
      <c r="BG45" s="477"/>
    </row>
    <row r="46" spans="1:59">
      <c r="A46" s="2337"/>
      <c r="B46" s="2273"/>
      <c r="C46" s="2318"/>
      <c r="D46" s="568" t="s">
        <v>943</v>
      </c>
      <c r="E46" s="569">
        <v>10</v>
      </c>
      <c r="F46" s="585" t="s">
        <v>35</v>
      </c>
      <c r="G46" s="585" t="s">
        <v>35</v>
      </c>
      <c r="H46" s="549">
        <v>836.36009999999999</v>
      </c>
      <c r="I46" s="550">
        <v>60.964010000000002</v>
      </c>
      <c r="J46" s="571" t="s">
        <v>35</v>
      </c>
      <c r="K46" s="572" t="s">
        <v>35</v>
      </c>
      <c r="L46" s="571" t="s">
        <v>35</v>
      </c>
      <c r="M46" s="572" t="s">
        <v>35</v>
      </c>
      <c r="N46" s="575">
        <v>26.180007499999999</v>
      </c>
      <c r="O46" s="576">
        <v>1.59</v>
      </c>
      <c r="P46" s="576">
        <v>16.413983999999999</v>
      </c>
      <c r="Q46" s="586">
        <f>6298/$T$33</f>
        <v>5.5937969073355298E-2</v>
      </c>
      <c r="R46" s="2285"/>
      <c r="S46" s="604"/>
      <c r="T46" s="605"/>
      <c r="U46" s="606"/>
      <c r="V46" s="524"/>
      <c r="W46" s="525"/>
      <c r="X46" s="525"/>
      <c r="Y46" s="515"/>
      <c r="Z46" s="515"/>
      <c r="AA46" s="515"/>
      <c r="AB46" s="454"/>
      <c r="AC46" s="525"/>
      <c r="AD46" s="525"/>
      <c r="AE46" s="525"/>
      <c r="AF46" s="475"/>
      <c r="AG46" s="476"/>
      <c r="AH46" s="477"/>
      <c r="AI46" s="477"/>
      <c r="AJ46" s="477"/>
      <c r="AK46" s="477"/>
      <c r="AL46" s="477"/>
      <c r="AM46" s="477"/>
      <c r="AN46" s="477"/>
      <c r="AO46" s="477"/>
      <c r="AP46" s="477"/>
      <c r="AQ46" s="477"/>
      <c r="AR46" s="477"/>
      <c r="AS46" s="477"/>
      <c r="AT46" s="477"/>
      <c r="AU46" s="477"/>
      <c r="AV46" s="477"/>
      <c r="AW46" s="477"/>
      <c r="AX46" s="477"/>
      <c r="AY46" s="477"/>
      <c r="AZ46" s="477"/>
      <c r="BA46" s="477"/>
      <c r="BB46" s="477"/>
      <c r="BC46" s="477"/>
      <c r="BD46" s="477"/>
      <c r="BE46" s="477"/>
      <c r="BF46" s="477"/>
      <c r="BG46" s="477"/>
    </row>
    <row r="47" spans="1:59">
      <c r="A47" s="2337"/>
      <c r="B47" s="2273"/>
      <c r="C47" s="2299"/>
      <c r="D47" s="568" t="s">
        <v>944</v>
      </c>
      <c r="E47" s="569">
        <v>154</v>
      </c>
      <c r="F47" s="585" t="s">
        <v>35</v>
      </c>
      <c r="G47" s="585" t="s">
        <v>35</v>
      </c>
      <c r="H47" s="549">
        <v>536.48170000000005</v>
      </c>
      <c r="I47" s="550">
        <v>133.5718</v>
      </c>
      <c r="J47" s="571" t="s">
        <v>35</v>
      </c>
      <c r="K47" s="572" t="s">
        <v>35</v>
      </c>
      <c r="L47" s="571" t="s">
        <v>35</v>
      </c>
      <c r="M47" s="572" t="s">
        <v>35</v>
      </c>
      <c r="N47" s="575">
        <v>0</v>
      </c>
      <c r="O47" s="576" t="s">
        <v>926</v>
      </c>
      <c r="P47" s="576" t="s">
        <v>926</v>
      </c>
      <c r="Q47" s="586">
        <f>46338/$T$33</f>
        <v>0.41156773752320386</v>
      </c>
      <c r="R47" s="2285"/>
      <c r="S47" s="604"/>
      <c r="T47" s="605"/>
      <c r="U47" s="606"/>
      <c r="V47" s="524"/>
      <c r="W47" s="525"/>
      <c r="X47" s="525"/>
      <c r="Y47" s="515"/>
      <c r="Z47" s="515"/>
      <c r="AA47" s="515"/>
      <c r="AB47" s="454"/>
      <c r="AC47" s="525"/>
      <c r="AD47" s="525"/>
      <c r="AE47" s="525"/>
      <c r="AF47" s="475"/>
      <c r="AG47" s="476"/>
      <c r="AH47" s="477"/>
      <c r="AI47" s="477"/>
      <c r="AJ47" s="477"/>
      <c r="AK47" s="477"/>
      <c r="AL47" s="477"/>
      <c r="AM47" s="477"/>
      <c r="AN47" s="477"/>
      <c r="AO47" s="477"/>
      <c r="AP47" s="477"/>
      <c r="AQ47" s="477"/>
      <c r="AR47" s="477"/>
      <c r="AS47" s="477"/>
      <c r="AT47" s="477"/>
      <c r="AU47" s="477"/>
      <c r="AV47" s="477"/>
      <c r="AW47" s="477"/>
      <c r="AX47" s="477"/>
      <c r="AY47" s="477"/>
      <c r="AZ47" s="477"/>
      <c r="BA47" s="477"/>
      <c r="BB47" s="477"/>
      <c r="BC47" s="477"/>
      <c r="BD47" s="477"/>
      <c r="BE47" s="477"/>
      <c r="BF47" s="477"/>
      <c r="BG47" s="477"/>
    </row>
    <row r="48" spans="1:59">
      <c r="A48" s="2337"/>
      <c r="B48" s="2273" t="s">
        <v>891</v>
      </c>
      <c r="C48" s="2287" t="s">
        <v>862</v>
      </c>
      <c r="D48" s="568" t="s">
        <v>895</v>
      </c>
      <c r="E48" s="607">
        <v>8</v>
      </c>
      <c r="F48" s="585" t="s">
        <v>35</v>
      </c>
      <c r="G48" s="585" t="s">
        <v>35</v>
      </c>
      <c r="H48" s="549">
        <v>400.08330000000001</v>
      </c>
      <c r="I48" s="550">
        <v>17.509429999999998</v>
      </c>
      <c r="J48" s="571" t="s">
        <v>35</v>
      </c>
      <c r="K48" s="572" t="s">
        <v>35</v>
      </c>
      <c r="L48" s="571" t="s">
        <v>35</v>
      </c>
      <c r="M48" s="572" t="s">
        <v>35</v>
      </c>
      <c r="N48" s="575">
        <v>122.9339384</v>
      </c>
      <c r="O48" s="576">
        <v>0.36</v>
      </c>
      <c r="P48" s="576">
        <v>342.554914</v>
      </c>
      <c r="Q48" s="586">
        <f>91/$T$33</f>
        <v>8.0824947374965586E-4</v>
      </c>
      <c r="R48" s="2285">
        <f>SUMPRODUCT(N48:N54,Q48:Q54)</f>
        <v>78.060123726879169</v>
      </c>
      <c r="S48" s="604"/>
      <c r="T48" s="605"/>
      <c r="U48" s="606"/>
      <c r="V48" s="524"/>
      <c r="W48" s="525"/>
      <c r="X48" s="525"/>
      <c r="Y48" s="515"/>
      <c r="Z48" s="515"/>
      <c r="AA48" s="515"/>
      <c r="AB48" s="454"/>
      <c r="AC48" s="525"/>
      <c r="AD48" s="525"/>
      <c r="AE48" s="525"/>
      <c r="AF48" s="475"/>
      <c r="AG48" s="476"/>
      <c r="AH48" s="477"/>
      <c r="AI48" s="477"/>
      <c r="AJ48" s="477"/>
      <c r="AK48" s="477"/>
      <c r="AL48" s="477"/>
      <c r="AM48" s="477"/>
      <c r="AN48" s="477"/>
      <c r="AO48" s="477"/>
      <c r="AP48" s="477"/>
      <c r="AQ48" s="477"/>
      <c r="AR48" s="477"/>
      <c r="AS48" s="477"/>
      <c r="AT48" s="477"/>
      <c r="AU48" s="477"/>
      <c r="AV48" s="477"/>
      <c r="AW48" s="477"/>
      <c r="AX48" s="477"/>
      <c r="AY48" s="477"/>
      <c r="AZ48" s="477"/>
      <c r="BA48" s="477"/>
      <c r="BB48" s="477"/>
      <c r="BC48" s="477"/>
      <c r="BD48" s="477"/>
      <c r="BE48" s="477"/>
      <c r="BF48" s="477"/>
      <c r="BG48" s="477"/>
    </row>
    <row r="49" spans="1:123">
      <c r="A49" s="2337"/>
      <c r="B49" s="2273"/>
      <c r="C49" s="2318"/>
      <c r="D49" s="568" t="s">
        <v>898</v>
      </c>
      <c r="E49" s="607">
        <v>22</v>
      </c>
      <c r="F49" s="585" t="s">
        <v>35</v>
      </c>
      <c r="G49" s="585" t="s">
        <v>35</v>
      </c>
      <c r="H49" s="549">
        <v>896.60810000000004</v>
      </c>
      <c r="I49" s="550">
        <v>120.62820000000001</v>
      </c>
      <c r="J49" s="571" t="s">
        <v>35</v>
      </c>
      <c r="K49" s="572" t="s">
        <v>35</v>
      </c>
      <c r="L49" s="571" t="s">
        <v>35</v>
      </c>
      <c r="M49" s="572" t="s">
        <v>35</v>
      </c>
      <c r="N49" s="575">
        <v>213.1541981</v>
      </c>
      <c r="O49" s="576">
        <v>0.59</v>
      </c>
      <c r="P49" s="576">
        <v>363.80793</v>
      </c>
      <c r="Q49" s="586">
        <f>27/$T$33</f>
        <v>2.3981028342022755E-4</v>
      </c>
      <c r="R49" s="2285"/>
      <c r="S49" s="604"/>
      <c r="T49" s="605"/>
      <c r="U49" s="606"/>
      <c r="V49" s="524"/>
      <c r="W49" s="525"/>
      <c r="X49" s="525"/>
      <c r="Y49" s="515"/>
      <c r="Z49" s="515"/>
      <c r="AA49" s="515"/>
      <c r="AB49" s="454"/>
      <c r="AC49" s="525"/>
      <c r="AD49" s="525"/>
      <c r="AE49" s="525"/>
      <c r="AF49" s="475"/>
      <c r="AG49" s="476"/>
      <c r="AH49" s="477"/>
      <c r="AI49" s="477"/>
      <c r="AJ49" s="477"/>
      <c r="AK49" s="477"/>
      <c r="AL49" s="477"/>
      <c r="AM49" s="477"/>
      <c r="AN49" s="477"/>
      <c r="AO49" s="477"/>
      <c r="AP49" s="477"/>
      <c r="AQ49" s="477"/>
      <c r="AR49" s="477"/>
      <c r="AS49" s="477"/>
      <c r="AT49" s="477"/>
      <c r="AU49" s="477"/>
      <c r="AV49" s="477"/>
      <c r="AW49" s="477"/>
      <c r="AX49" s="477"/>
      <c r="AY49" s="477"/>
      <c r="AZ49" s="477"/>
      <c r="BA49" s="477"/>
      <c r="BB49" s="477"/>
      <c r="BC49" s="477"/>
      <c r="BD49" s="477"/>
      <c r="BE49" s="477"/>
      <c r="BF49" s="477"/>
      <c r="BG49" s="477"/>
    </row>
    <row r="50" spans="1:123">
      <c r="A50" s="2337"/>
      <c r="B50" s="2273"/>
      <c r="C50" s="2318"/>
      <c r="D50" s="568" t="s">
        <v>945</v>
      </c>
      <c r="E50" s="607">
        <v>12</v>
      </c>
      <c r="F50" s="585" t="s">
        <v>35</v>
      </c>
      <c r="G50" s="585" t="s">
        <v>35</v>
      </c>
      <c r="H50" s="549">
        <v>863.94209999999998</v>
      </c>
      <c r="I50" s="550">
        <v>167.84569999999999</v>
      </c>
      <c r="J50" s="571" t="s">
        <v>35</v>
      </c>
      <c r="K50" s="572" t="s">
        <v>35</v>
      </c>
      <c r="L50" s="571" t="s">
        <v>35</v>
      </c>
      <c r="M50" s="572" t="s">
        <v>35</v>
      </c>
      <c r="N50" s="575">
        <v>223.15556169999999</v>
      </c>
      <c r="O50" s="576">
        <v>0.64</v>
      </c>
      <c r="P50" s="576">
        <v>350.45196900000002</v>
      </c>
      <c r="Q50" s="586">
        <f>49/$T$33</f>
        <v>4.3521125509596851E-4</v>
      </c>
      <c r="R50" s="2285"/>
      <c r="S50" s="604"/>
      <c r="T50" s="605"/>
      <c r="U50" s="606"/>
      <c r="V50" s="524"/>
      <c r="W50" s="525"/>
      <c r="X50" s="525"/>
      <c r="Y50" s="515"/>
      <c r="Z50" s="515"/>
      <c r="AA50" s="515"/>
      <c r="AB50" s="454"/>
      <c r="AC50" s="525"/>
      <c r="AD50" s="525"/>
      <c r="AE50" s="525"/>
      <c r="AF50" s="475"/>
      <c r="AG50" s="476"/>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row>
    <row r="51" spans="1:123">
      <c r="A51" s="2337"/>
      <c r="B51" s="2273"/>
      <c r="C51" s="2318"/>
      <c r="D51" s="568" t="s">
        <v>902</v>
      </c>
      <c r="E51" s="607">
        <v>4</v>
      </c>
      <c r="F51" s="585" t="s">
        <v>35</v>
      </c>
      <c r="G51" s="585" t="s">
        <v>35</v>
      </c>
      <c r="H51" s="549">
        <v>483.06240000000003</v>
      </c>
      <c r="I51" s="550">
        <v>9.8932079999999996</v>
      </c>
      <c r="J51" s="571" t="s">
        <v>35</v>
      </c>
      <c r="K51" s="572" t="s">
        <v>35</v>
      </c>
      <c r="L51" s="571" t="s">
        <v>35</v>
      </c>
      <c r="M51" s="572" t="s">
        <v>35</v>
      </c>
      <c r="N51" s="575">
        <v>146.65917379999999</v>
      </c>
      <c r="O51" s="576">
        <v>0.42</v>
      </c>
      <c r="P51" s="576">
        <v>351.67478699999998</v>
      </c>
      <c r="Q51" s="586">
        <f>46/$T$33</f>
        <v>4.085656680492766E-4</v>
      </c>
      <c r="R51" s="2285"/>
      <c r="S51" s="604"/>
      <c r="T51" s="605"/>
      <c r="U51" s="606"/>
      <c r="V51" s="524"/>
      <c r="W51" s="525"/>
      <c r="X51" s="525"/>
      <c r="Y51" s="515"/>
      <c r="Z51" s="515"/>
      <c r="AA51" s="515"/>
      <c r="AB51" s="454"/>
      <c r="AC51" s="525"/>
      <c r="AD51" s="525"/>
      <c r="AE51" s="525"/>
      <c r="AF51" s="475"/>
      <c r="AG51" s="476"/>
      <c r="AH51" s="477"/>
      <c r="AI51" s="477"/>
      <c r="AJ51" s="477"/>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row>
    <row r="52" spans="1:123">
      <c r="A52" s="2337"/>
      <c r="B52" s="2273"/>
      <c r="C52" s="2318"/>
      <c r="D52" s="568" t="s">
        <v>904</v>
      </c>
      <c r="E52" s="569">
        <v>53</v>
      </c>
      <c r="F52" s="585" t="s">
        <v>35</v>
      </c>
      <c r="G52" s="585" t="s">
        <v>35</v>
      </c>
      <c r="H52" s="549">
        <v>924.8587</v>
      </c>
      <c r="I52" s="550">
        <v>98.529799999999994</v>
      </c>
      <c r="J52" s="571" t="s">
        <v>35</v>
      </c>
      <c r="K52" s="572" t="s">
        <v>35</v>
      </c>
      <c r="L52" s="571" t="s">
        <v>35</v>
      </c>
      <c r="M52" s="572" t="s">
        <v>35</v>
      </c>
      <c r="N52" s="575">
        <v>211.93823750000001</v>
      </c>
      <c r="O52" s="576">
        <v>0.64</v>
      </c>
      <c r="P52" s="576">
        <v>333.59388100000001</v>
      </c>
      <c r="Q52" s="586">
        <f>4060/$T$33</f>
        <v>3.6060361136523104E-2</v>
      </c>
      <c r="R52" s="2285"/>
      <c r="S52" s="604"/>
      <c r="T52" s="605"/>
      <c r="U52" s="606"/>
      <c r="V52" s="524"/>
      <c r="W52" s="525"/>
      <c r="X52" s="525"/>
      <c r="Y52" s="515"/>
      <c r="Z52" s="515"/>
      <c r="AA52" s="515"/>
      <c r="AB52" s="454"/>
      <c r="AC52" s="525"/>
      <c r="AD52" s="525"/>
      <c r="AE52" s="525"/>
      <c r="AF52" s="475"/>
      <c r="AG52" s="476"/>
      <c r="AH52" s="477"/>
      <c r="AI52" s="477"/>
      <c r="AJ52" s="477"/>
      <c r="AK52" s="477"/>
      <c r="AL52" s="477"/>
      <c r="AM52" s="477"/>
      <c r="AN52" s="477"/>
      <c r="AO52" s="477"/>
      <c r="AP52" s="477"/>
      <c r="AQ52" s="477"/>
      <c r="AR52" s="477"/>
      <c r="AS52" s="477"/>
      <c r="AT52" s="477"/>
      <c r="AU52" s="477"/>
      <c r="AV52" s="477"/>
      <c r="AW52" s="477"/>
      <c r="AX52" s="477"/>
      <c r="AY52" s="477"/>
      <c r="AZ52" s="477"/>
      <c r="BA52" s="477"/>
      <c r="BB52" s="477"/>
      <c r="BC52" s="477"/>
      <c r="BD52" s="477"/>
      <c r="BE52" s="477"/>
      <c r="BF52" s="477"/>
      <c r="BG52" s="477"/>
    </row>
    <row r="53" spans="1:123">
      <c r="A53" s="2337"/>
      <c r="B53" s="2273"/>
      <c r="C53" s="2318"/>
      <c r="D53" s="568" t="s">
        <v>892</v>
      </c>
      <c r="E53" s="569">
        <v>409</v>
      </c>
      <c r="F53" s="585" t="s">
        <v>35</v>
      </c>
      <c r="G53" s="585" t="s">
        <v>35</v>
      </c>
      <c r="H53" s="549">
        <v>549.56590000000006</v>
      </c>
      <c r="I53" s="550">
        <v>145.41919999999999</v>
      </c>
      <c r="J53" s="571" t="s">
        <v>35</v>
      </c>
      <c r="K53" s="572" t="s">
        <v>35</v>
      </c>
      <c r="L53" s="571" t="s">
        <v>35</v>
      </c>
      <c r="M53" s="572" t="s">
        <v>35</v>
      </c>
      <c r="N53" s="575">
        <v>72.878526199999996</v>
      </c>
      <c r="O53" s="576">
        <v>0.22</v>
      </c>
      <c r="P53" s="576">
        <v>333.35490800000002</v>
      </c>
      <c r="Q53" s="586">
        <f>108312/$T$33</f>
        <v>0.96201227473376616</v>
      </c>
      <c r="R53" s="2285"/>
      <c r="S53" s="604"/>
      <c r="T53" s="605"/>
      <c r="U53" s="606"/>
      <c r="V53" s="524"/>
      <c r="W53" s="525"/>
      <c r="X53" s="525"/>
      <c r="Y53" s="515"/>
      <c r="Z53" s="515"/>
      <c r="AA53" s="515"/>
      <c r="AB53" s="454"/>
      <c r="AC53" s="525"/>
      <c r="AD53" s="525"/>
      <c r="AE53" s="525"/>
      <c r="AF53" s="475"/>
      <c r="AG53" s="476"/>
      <c r="AH53" s="477"/>
      <c r="AI53" s="477"/>
      <c r="AJ53" s="477"/>
      <c r="AK53" s="477"/>
      <c r="AL53" s="477"/>
      <c r="AM53" s="477"/>
      <c r="AN53" s="477"/>
      <c r="AO53" s="477"/>
      <c r="AP53" s="477"/>
      <c r="AQ53" s="477"/>
      <c r="AR53" s="477"/>
      <c r="AS53" s="477"/>
      <c r="AT53" s="477"/>
      <c r="AU53" s="477"/>
      <c r="AV53" s="477"/>
      <c r="AW53" s="477"/>
      <c r="AX53" s="477"/>
      <c r="AY53" s="477"/>
      <c r="AZ53" s="477"/>
      <c r="BA53" s="477"/>
      <c r="BB53" s="477"/>
      <c r="BC53" s="477"/>
      <c r="BD53" s="477"/>
      <c r="BE53" s="477"/>
      <c r="BF53" s="477"/>
      <c r="BG53" s="477"/>
    </row>
    <row r="54" spans="1:123" ht="15" thickBot="1">
      <c r="A54" s="2359"/>
      <c r="B54" s="2405"/>
      <c r="C54" s="2406"/>
      <c r="D54" s="608" t="s">
        <v>900</v>
      </c>
      <c r="E54" s="609">
        <v>4</v>
      </c>
      <c r="F54" s="610" t="s">
        <v>35</v>
      </c>
      <c r="G54" s="610" t="s">
        <v>35</v>
      </c>
      <c r="H54" s="549">
        <v>445.21530000000001</v>
      </c>
      <c r="I54" s="550">
        <v>88.171310000000005</v>
      </c>
      <c r="J54" s="611" t="s">
        <v>35</v>
      </c>
      <c r="K54" s="612" t="s">
        <v>35</v>
      </c>
      <c r="L54" s="611" t="s">
        <v>35</v>
      </c>
      <c r="M54" s="612" t="s">
        <v>35</v>
      </c>
      <c r="N54" s="613">
        <v>0</v>
      </c>
      <c r="O54" s="614" t="s">
        <v>926</v>
      </c>
      <c r="P54" s="614" t="s">
        <v>926</v>
      </c>
      <c r="Q54" s="615">
        <f>5/$T$33</f>
        <v>4.4409311744486584E-5</v>
      </c>
      <c r="R54" s="2407"/>
      <c r="S54" s="604"/>
      <c r="T54" s="605"/>
      <c r="U54" s="606"/>
      <c r="V54" s="524"/>
      <c r="W54" s="525"/>
      <c r="X54" s="525"/>
      <c r="Y54" s="515"/>
      <c r="Z54" s="616"/>
      <c r="AA54" s="616"/>
      <c r="AB54" s="454"/>
      <c r="AC54" s="525"/>
      <c r="AD54" s="525"/>
      <c r="AE54" s="525"/>
      <c r="AF54" s="475"/>
      <c r="AG54" s="476"/>
      <c r="AH54" s="477"/>
      <c r="AI54" s="477"/>
      <c r="AJ54" s="477"/>
      <c r="AK54" s="477"/>
      <c r="AL54" s="477"/>
      <c r="AM54" s="477"/>
      <c r="AN54" s="477"/>
      <c r="AO54" s="477"/>
      <c r="AP54" s="477"/>
      <c r="AQ54" s="477"/>
      <c r="AR54" s="477"/>
      <c r="AS54" s="477"/>
      <c r="AT54" s="477"/>
      <c r="AU54" s="477"/>
      <c r="AV54" s="477"/>
      <c r="AW54" s="477"/>
      <c r="AX54" s="477"/>
      <c r="AY54" s="477"/>
      <c r="AZ54" s="477"/>
      <c r="BA54" s="477"/>
      <c r="BB54" s="477"/>
      <c r="BC54" s="477"/>
      <c r="BD54" s="477"/>
      <c r="BE54" s="477"/>
      <c r="BF54" s="477"/>
      <c r="BG54" s="477"/>
    </row>
    <row r="55" spans="1:123" s="626" customFormat="1" ht="9" customHeight="1" thickBot="1">
      <c r="A55" s="540"/>
      <c r="B55" s="617"/>
      <c r="C55" s="444"/>
      <c r="D55" s="445"/>
      <c r="E55" s="444"/>
      <c r="F55" s="444"/>
      <c r="G55" s="444"/>
      <c r="H55" s="444"/>
      <c r="I55" s="444"/>
      <c r="J55" s="618"/>
      <c r="K55" s="619"/>
      <c r="L55" s="618"/>
      <c r="M55" s="620"/>
      <c r="N55" s="621"/>
      <c r="O55" s="622"/>
      <c r="P55" s="622"/>
      <c r="Q55" s="623"/>
      <c r="R55" s="623"/>
      <c r="S55" s="451"/>
      <c r="T55" s="451"/>
      <c r="U55" s="452"/>
      <c r="V55" s="624"/>
      <c r="W55" s="620"/>
      <c r="X55" s="620"/>
      <c r="Y55" s="625"/>
      <c r="Z55" s="625"/>
      <c r="AA55" s="625"/>
      <c r="AB55" s="454"/>
      <c r="AC55" s="447"/>
      <c r="AD55" s="447"/>
      <c r="AE55" s="447"/>
      <c r="AF55" s="455"/>
      <c r="AG55" s="447"/>
      <c r="AH55" s="456"/>
      <c r="AI55" s="456"/>
      <c r="AJ55" s="456"/>
      <c r="AK55" s="456"/>
      <c r="AL55" s="456"/>
      <c r="AM55" s="456"/>
      <c r="AN55" s="456"/>
      <c r="AO55" s="456"/>
      <c r="AP55" s="456"/>
      <c r="AQ55" s="456"/>
      <c r="AR55" s="456"/>
      <c r="AS55" s="456"/>
      <c r="AT55" s="456"/>
      <c r="AU55" s="456"/>
      <c r="AV55" s="456"/>
      <c r="AW55" s="456"/>
      <c r="AX55" s="456"/>
      <c r="AY55" s="456"/>
      <c r="AZ55" s="456"/>
      <c r="BA55" s="456"/>
      <c r="BB55" s="456"/>
      <c r="BC55" s="456"/>
      <c r="BD55" s="456"/>
      <c r="BE55" s="456"/>
      <c r="BF55" s="456"/>
      <c r="BG55" s="456"/>
      <c r="BH55" s="432"/>
      <c r="CF55" s="542"/>
      <c r="CG55" s="542"/>
      <c r="CH55" s="542"/>
      <c r="CI55" s="542"/>
      <c r="CJ55" s="542"/>
      <c r="CK55" s="542"/>
      <c r="CL55" s="542"/>
      <c r="CM55" s="542"/>
      <c r="CN55" s="542"/>
      <c r="CO55" s="542"/>
      <c r="CP55" s="542"/>
      <c r="CQ55" s="542"/>
      <c r="CR55" s="542"/>
      <c r="CS55" s="542"/>
      <c r="CT55" s="542"/>
      <c r="CU55" s="542"/>
      <c r="CV55" s="542"/>
      <c r="CW55" s="542"/>
      <c r="CX55" s="542"/>
      <c r="CY55" s="542"/>
      <c r="CZ55" s="542"/>
      <c r="DA55" s="542"/>
      <c r="DB55" s="542"/>
      <c r="DC55" s="542"/>
      <c r="DD55" s="542"/>
      <c r="DE55" s="542"/>
      <c r="DF55" s="542"/>
      <c r="DG55" s="542"/>
      <c r="DH55" s="542"/>
      <c r="DI55" s="543"/>
      <c r="DJ55" s="542"/>
      <c r="DK55" s="542"/>
      <c r="DL55" s="542"/>
      <c r="DM55" s="542"/>
      <c r="DN55" s="542"/>
      <c r="DO55" s="542"/>
      <c r="DP55" s="542"/>
      <c r="DQ55" s="542"/>
      <c r="DR55" s="542"/>
      <c r="DS55" s="542"/>
    </row>
    <row r="56" spans="1:123" ht="15" customHeight="1">
      <c r="A56" s="2336" t="s">
        <v>946</v>
      </c>
      <c r="B56" s="627" t="s">
        <v>913</v>
      </c>
      <c r="C56" s="545" t="s">
        <v>853</v>
      </c>
      <c r="D56" s="546" t="s">
        <v>947</v>
      </c>
      <c r="E56" s="628">
        <v>754</v>
      </c>
      <c r="F56" s="548">
        <v>2.8223729999999998</v>
      </c>
      <c r="G56" s="548">
        <v>0.37051699999999999</v>
      </c>
      <c r="H56" s="549">
        <v>725.9896</v>
      </c>
      <c r="I56" s="550">
        <v>191.3133</v>
      </c>
      <c r="J56" s="629" t="s">
        <v>35</v>
      </c>
      <c r="K56" s="630" t="s">
        <v>35</v>
      </c>
      <c r="L56" s="631" t="s">
        <v>853</v>
      </c>
      <c r="M56" s="632" t="s">
        <v>915</v>
      </c>
      <c r="N56" s="633">
        <v>28.898790300000002</v>
      </c>
      <c r="O56" s="634">
        <v>2.2400000000000002</v>
      </c>
      <c r="P56" s="634">
        <v>12.877808</v>
      </c>
      <c r="Q56" s="635" t="s">
        <v>35</v>
      </c>
      <c r="R56" s="636">
        <f>N56</f>
        <v>28.898790300000002</v>
      </c>
      <c r="S56" s="587" t="s">
        <v>841</v>
      </c>
      <c r="T56" s="637" t="s">
        <v>842</v>
      </c>
      <c r="U56" s="560"/>
      <c r="V56" s="2402" t="s">
        <v>916</v>
      </c>
      <c r="W56" s="561" t="s">
        <v>175</v>
      </c>
      <c r="X56" s="562" t="s">
        <v>917</v>
      </c>
      <c r="Y56" s="563">
        <f>$T$35+SUM($R$30:$R$54)+$N$28*1.26+$N$29*3.5</f>
        <v>466.37384380138769</v>
      </c>
      <c r="Z56" s="564" t="s">
        <v>918</v>
      </c>
      <c r="AA56" s="565" t="s">
        <v>918</v>
      </c>
      <c r="AB56" s="454"/>
      <c r="AC56" s="638" t="s">
        <v>948</v>
      </c>
      <c r="AD56" s="2403" t="s">
        <v>846</v>
      </c>
      <c r="AE56" s="2404"/>
      <c r="AF56" s="475"/>
      <c r="AG56" s="476"/>
      <c r="AH56" s="477"/>
      <c r="AI56" s="477"/>
      <c r="AJ56" s="477"/>
      <c r="AK56" s="477"/>
      <c r="AL56" s="477"/>
      <c r="AM56" s="477"/>
      <c r="AN56" s="477"/>
      <c r="AO56" s="477"/>
      <c r="AP56" s="477"/>
      <c r="AQ56" s="477"/>
      <c r="AR56" s="477"/>
      <c r="AS56" s="477"/>
      <c r="AT56" s="477"/>
      <c r="AU56" s="477"/>
      <c r="AV56" s="477"/>
      <c r="AW56" s="477"/>
      <c r="AX56" s="477"/>
      <c r="AY56" s="477"/>
      <c r="AZ56" s="477"/>
      <c r="BA56" s="477"/>
      <c r="BB56" s="477"/>
      <c r="BC56" s="477"/>
      <c r="BD56" s="477"/>
      <c r="BE56" s="477"/>
      <c r="BF56" s="477"/>
      <c r="BG56" s="477"/>
    </row>
    <row r="57" spans="1:123">
      <c r="A57" s="2337"/>
      <c r="B57" s="566" t="s">
        <v>920</v>
      </c>
      <c r="C57" s="567" t="s">
        <v>853</v>
      </c>
      <c r="D57" s="568" t="s">
        <v>949</v>
      </c>
      <c r="E57" s="639">
        <v>754</v>
      </c>
      <c r="F57" s="570">
        <v>3.7057190000000002</v>
      </c>
      <c r="G57" s="570">
        <v>0.35331499999999999</v>
      </c>
      <c r="H57" s="549">
        <v>725.9896</v>
      </c>
      <c r="I57" s="550">
        <v>191.3133</v>
      </c>
      <c r="J57" s="571" t="s">
        <v>35</v>
      </c>
      <c r="K57" s="572" t="s">
        <v>35</v>
      </c>
      <c r="L57" s="573" t="s">
        <v>853</v>
      </c>
      <c r="M57" s="574" t="s">
        <v>922</v>
      </c>
      <c r="N57" s="575">
        <v>233.54923170000001</v>
      </c>
      <c r="O57" s="576">
        <v>14.97</v>
      </c>
      <c r="P57" s="576">
        <v>15.601038000000001</v>
      </c>
      <c r="Q57" s="577" t="s">
        <v>35</v>
      </c>
      <c r="R57" s="486">
        <f>N57</f>
        <v>233.54923170000001</v>
      </c>
      <c r="S57" s="578" t="s">
        <v>848</v>
      </c>
      <c r="T57" s="488" t="s">
        <v>849</v>
      </c>
      <c r="U57" s="452"/>
      <c r="V57" s="2164"/>
      <c r="W57" s="579" t="s">
        <v>174</v>
      </c>
      <c r="X57" s="580" t="s">
        <v>950</v>
      </c>
      <c r="Y57" s="563">
        <f>$T$63+SUM($R$58:$R$94)+$N$56*2+$N$57*3.5</f>
        <v>676.49543387293215</v>
      </c>
      <c r="Z57" s="563">
        <f>Y57-$Y$28</f>
        <v>210.12159007154446</v>
      </c>
      <c r="AA57" s="581">
        <f>(2-1.26)*$P$56</f>
        <v>9.5295779199999995</v>
      </c>
      <c r="AB57" s="582"/>
      <c r="AC57" s="474" t="s">
        <v>851</v>
      </c>
      <c r="AD57" s="583" t="s">
        <v>795</v>
      </c>
      <c r="AE57" s="584">
        <v>5.0859791544964562E-4</v>
      </c>
      <c r="AF57" s="475"/>
      <c r="AG57" s="476"/>
      <c r="AH57" s="477"/>
      <c r="AI57" s="477"/>
      <c r="AJ57" s="477"/>
      <c r="AK57" s="477"/>
      <c r="AL57" s="477"/>
      <c r="AM57" s="477"/>
      <c r="AN57" s="477"/>
      <c r="AO57" s="477"/>
      <c r="AP57" s="477"/>
      <c r="AQ57" s="477"/>
      <c r="AR57" s="477"/>
      <c r="AS57" s="477"/>
      <c r="AT57" s="477"/>
      <c r="AU57" s="477"/>
      <c r="AV57" s="477"/>
      <c r="AW57" s="477"/>
      <c r="AX57" s="477"/>
      <c r="AY57" s="477"/>
      <c r="AZ57" s="477"/>
      <c r="BA57" s="477"/>
      <c r="BB57" s="477"/>
      <c r="BC57" s="477"/>
      <c r="BD57" s="477"/>
      <c r="BE57" s="477"/>
      <c r="BF57" s="477"/>
      <c r="BG57" s="477"/>
    </row>
    <row r="58" spans="1:123">
      <c r="A58" s="2337"/>
      <c r="B58" s="2273" t="s">
        <v>951</v>
      </c>
      <c r="C58" s="2274" t="s">
        <v>839</v>
      </c>
      <c r="D58" s="568" t="s">
        <v>840</v>
      </c>
      <c r="E58" s="639">
        <v>318</v>
      </c>
      <c r="F58" s="585" t="s">
        <v>35</v>
      </c>
      <c r="G58" s="585" t="s">
        <v>35</v>
      </c>
      <c r="H58" s="549">
        <v>881.89089999999999</v>
      </c>
      <c r="I58" s="550">
        <v>170.5873</v>
      </c>
      <c r="J58" s="571" t="s">
        <v>35</v>
      </c>
      <c r="K58" s="572" t="s">
        <v>35</v>
      </c>
      <c r="L58" s="571" t="s">
        <v>35</v>
      </c>
      <c r="M58" s="572" t="s">
        <v>35</v>
      </c>
      <c r="N58" s="575">
        <v>58.758213099999999</v>
      </c>
      <c r="O58" s="576">
        <v>4.3</v>
      </c>
      <c r="P58" s="576">
        <v>13.665941</v>
      </c>
      <c r="Q58" s="486">
        <f>26179/$T$61</f>
        <v>0.29159705050235024</v>
      </c>
      <c r="R58" s="2285">
        <f>SUMPRODUCT(N58:N59,Q58:Q59)</f>
        <v>17.133721632748557</v>
      </c>
      <c r="S58" s="587" t="s">
        <v>858</v>
      </c>
      <c r="T58" s="511" t="s">
        <v>859</v>
      </c>
      <c r="U58" s="470"/>
      <c r="V58" s="2164"/>
      <c r="W58" s="579" t="s">
        <v>174</v>
      </c>
      <c r="X58" s="580" t="s">
        <v>952</v>
      </c>
      <c r="Y58" s="563">
        <f>$T$63+SUM($R$58:$R$94)+$N$56*2.2+$N$57*3.5</f>
        <v>682.2751919329321</v>
      </c>
      <c r="Z58" s="563">
        <f>Y58-$Y$28</f>
        <v>215.90134813154441</v>
      </c>
      <c r="AA58" s="581">
        <f>(2.2-1.26)*$P$56</f>
        <v>12.105139520000002</v>
      </c>
      <c r="AB58" s="582"/>
      <c r="AC58" s="588"/>
      <c r="AD58" s="583" t="s">
        <v>861</v>
      </c>
      <c r="AE58" s="584">
        <v>1.6500320712526709E-3</v>
      </c>
      <c r="AF58" s="475"/>
      <c r="AG58" s="476"/>
      <c r="AH58" s="477"/>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477"/>
      <c r="BE58" s="477"/>
      <c r="BF58" s="477"/>
      <c r="BG58" s="477"/>
    </row>
    <row r="59" spans="1:123">
      <c r="A59" s="2337"/>
      <c r="B59" s="2273"/>
      <c r="C59" s="2274"/>
      <c r="D59" s="568" t="s">
        <v>64</v>
      </c>
      <c r="E59" s="640">
        <v>436</v>
      </c>
      <c r="F59" s="585" t="s">
        <v>35</v>
      </c>
      <c r="G59" s="585" t="s">
        <v>35</v>
      </c>
      <c r="H59" s="549">
        <v>661.81389999999999</v>
      </c>
      <c r="I59" s="550">
        <v>159.89009999999999</v>
      </c>
      <c r="J59" s="571" t="s">
        <v>35</v>
      </c>
      <c r="K59" s="572" t="s">
        <v>35</v>
      </c>
      <c r="L59" s="571" t="s">
        <v>35</v>
      </c>
      <c r="M59" s="572" t="s">
        <v>35</v>
      </c>
      <c r="N59" s="575">
        <v>0</v>
      </c>
      <c r="O59" s="576" t="s">
        <v>926</v>
      </c>
      <c r="P59" s="576" t="s">
        <v>926</v>
      </c>
      <c r="Q59" s="486">
        <f>63599/$T$61</f>
        <v>0.7084029494976497</v>
      </c>
      <c r="R59" s="2285"/>
      <c r="S59" s="567" t="s">
        <v>864</v>
      </c>
      <c r="T59" s="590"/>
      <c r="U59" s="591"/>
      <c r="V59" s="2164"/>
      <c r="W59" s="579" t="s">
        <v>174</v>
      </c>
      <c r="X59" s="580" t="s">
        <v>953</v>
      </c>
      <c r="Y59" s="563">
        <f>$T$63+SUM($R$58:$R$94)+$N$56*2.4+$N$57*3.5</f>
        <v>688.05494999293205</v>
      </c>
      <c r="Z59" s="563">
        <f>Y59-$Y$28</f>
        <v>221.68110619154436</v>
      </c>
      <c r="AA59" s="581">
        <f>(2.4-1.26)*$P$56</f>
        <v>14.680701119999998</v>
      </c>
      <c r="AB59" s="582"/>
      <c r="AC59" s="525"/>
      <c r="AD59" s="583" t="s">
        <v>866</v>
      </c>
      <c r="AE59" s="584">
        <v>-2.1984199493367055E-2</v>
      </c>
      <c r="AF59" s="475"/>
      <c r="AG59" s="476"/>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row>
    <row r="60" spans="1:123">
      <c r="A60" s="2337"/>
      <c r="B60" s="2273" t="s">
        <v>954</v>
      </c>
      <c r="C60" s="2274" t="s">
        <v>862</v>
      </c>
      <c r="D60" s="568" t="s">
        <v>955</v>
      </c>
      <c r="E60" s="639">
        <v>219</v>
      </c>
      <c r="F60" s="585" t="s">
        <v>35</v>
      </c>
      <c r="G60" s="585" t="s">
        <v>35</v>
      </c>
      <c r="H60" s="549">
        <v>886.03110000000004</v>
      </c>
      <c r="I60" s="550">
        <v>241.14189999999999</v>
      </c>
      <c r="J60" s="571" t="s">
        <v>35</v>
      </c>
      <c r="K60" s="572" t="s">
        <v>35</v>
      </c>
      <c r="L60" s="571" t="s">
        <v>35</v>
      </c>
      <c r="M60" s="572" t="s">
        <v>35</v>
      </c>
      <c r="N60" s="575">
        <v>93.127766600000001</v>
      </c>
      <c r="O60" s="576">
        <v>4.45</v>
      </c>
      <c r="P60" s="576">
        <v>20.942637000000001</v>
      </c>
      <c r="Q60" s="486">
        <f>5501.8/$T$61</f>
        <v>6.1282274053777099E-2</v>
      </c>
      <c r="R60" s="2285">
        <f>SUMPRODUCT(N60:N64,Q60:Q64)</f>
        <v>10.616473626279944</v>
      </c>
      <c r="S60" s="587" t="s">
        <v>868</v>
      </c>
      <c r="T60" s="592" t="s">
        <v>869</v>
      </c>
      <c r="U60" s="560"/>
      <c r="V60" s="2164"/>
      <c r="W60" s="579" t="s">
        <v>175</v>
      </c>
      <c r="X60" s="580" t="s">
        <v>929</v>
      </c>
      <c r="Y60" s="563">
        <f>$T$35+SUM($R$30:$R$54)+$N$28*1.26+$N$29*4</f>
        <v>567.83954675138773</v>
      </c>
      <c r="Z60" s="564" t="s">
        <v>918</v>
      </c>
      <c r="AA60" s="565" t="s">
        <v>918</v>
      </c>
      <c r="AB60" s="454"/>
      <c r="AC60" s="525"/>
      <c r="AD60" s="583" t="s">
        <v>871</v>
      </c>
      <c r="AE60" s="584">
        <v>0.19719532554257097</v>
      </c>
      <c r="AF60" s="475"/>
      <c r="AG60" s="476"/>
      <c r="AH60" s="477"/>
      <c r="AI60" s="477"/>
      <c r="AJ60" s="477"/>
      <c r="AK60" s="477"/>
      <c r="AL60" s="477"/>
      <c r="AM60" s="477"/>
      <c r="AN60" s="477"/>
      <c r="AO60" s="477"/>
      <c r="AP60" s="477"/>
      <c r="AQ60" s="477"/>
      <c r="AR60" s="477"/>
      <c r="AS60" s="477"/>
      <c r="AT60" s="477"/>
      <c r="AU60" s="477"/>
      <c r="AV60" s="477"/>
      <c r="AW60" s="477"/>
      <c r="AX60" s="477"/>
      <c r="AY60" s="477"/>
      <c r="AZ60" s="477"/>
      <c r="BA60" s="477"/>
      <c r="BB60" s="477"/>
      <c r="BC60" s="477"/>
      <c r="BD60" s="477"/>
      <c r="BE60" s="477"/>
      <c r="BF60" s="477"/>
      <c r="BG60" s="477"/>
    </row>
    <row r="61" spans="1:123">
      <c r="A61" s="2337"/>
      <c r="B61" s="2273"/>
      <c r="C61" s="2274"/>
      <c r="D61" s="568" t="s">
        <v>956</v>
      </c>
      <c r="E61" s="639">
        <v>150</v>
      </c>
      <c r="F61" s="585" t="s">
        <v>35</v>
      </c>
      <c r="G61" s="585" t="s">
        <v>35</v>
      </c>
      <c r="H61" s="549">
        <v>787.4402</v>
      </c>
      <c r="I61" s="550">
        <v>211.49860000000001</v>
      </c>
      <c r="J61" s="571" t="s">
        <v>35</v>
      </c>
      <c r="K61" s="572" t="s">
        <v>35</v>
      </c>
      <c r="L61" s="571" t="s">
        <v>35</v>
      </c>
      <c r="M61" s="572" t="s">
        <v>35</v>
      </c>
      <c r="N61" s="575">
        <v>80.854192900000001</v>
      </c>
      <c r="O61" s="576">
        <v>6.32</v>
      </c>
      <c r="P61" s="576">
        <v>12.791881999999999</v>
      </c>
      <c r="Q61" s="486">
        <f>20223.58/$T$61</f>
        <v>0.22526209093541849</v>
      </c>
      <c r="R61" s="2285"/>
      <c r="S61" s="595">
        <v>754</v>
      </c>
      <c r="T61" s="596">
        <v>89778</v>
      </c>
      <c r="U61" s="597"/>
      <c r="V61" s="2164"/>
      <c r="W61" s="579" t="s">
        <v>174</v>
      </c>
      <c r="X61" s="580" t="s">
        <v>957</v>
      </c>
      <c r="Y61" s="563">
        <f>$T$63+SUM($R$58:$R$94)+$N$56*2+$N$57*3.5</f>
        <v>676.49543387293215</v>
      </c>
      <c r="Z61" s="563">
        <f>Y61-$Y$32</f>
        <v>108.65588712154442</v>
      </c>
      <c r="AA61" s="581">
        <f>(2-1.26)*$P$56</f>
        <v>9.5295779199999995</v>
      </c>
      <c r="AB61" s="582"/>
      <c r="AC61" s="525"/>
      <c r="AD61" s="583" t="s">
        <v>931</v>
      </c>
      <c r="AE61" s="584">
        <v>0.2255660831468298</v>
      </c>
      <c r="AF61" s="475"/>
      <c r="AG61" s="476"/>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row>
    <row r="62" spans="1:123">
      <c r="A62" s="2337"/>
      <c r="B62" s="2273"/>
      <c r="C62" s="2274"/>
      <c r="D62" s="568" t="s">
        <v>958</v>
      </c>
      <c r="E62" s="639">
        <v>238</v>
      </c>
      <c r="F62" s="585" t="s">
        <v>35</v>
      </c>
      <c r="G62" s="585" t="s">
        <v>35</v>
      </c>
      <c r="H62" s="549">
        <v>732.98059999999998</v>
      </c>
      <c r="I62" s="550">
        <v>173.84549999999999</v>
      </c>
      <c r="J62" s="571" t="s">
        <v>35</v>
      </c>
      <c r="K62" s="572" t="s">
        <v>35</v>
      </c>
      <c r="L62" s="571" t="s">
        <v>35</v>
      </c>
      <c r="M62" s="572" t="s">
        <v>35</v>
      </c>
      <c r="N62" s="575">
        <v>-44.852995700000001</v>
      </c>
      <c r="O62" s="576">
        <v>-3.06</v>
      </c>
      <c r="P62" s="576">
        <v>14.653737</v>
      </c>
      <c r="Q62" s="486">
        <f>28677.94/$T$61</f>
        <v>0.31943170932745213</v>
      </c>
      <c r="R62" s="2285"/>
      <c r="S62" s="587" t="s">
        <v>876</v>
      </c>
      <c r="T62" s="592" t="s">
        <v>877</v>
      </c>
      <c r="U62" s="560"/>
      <c r="V62" s="2164"/>
      <c r="W62" s="579" t="s">
        <v>174</v>
      </c>
      <c r="X62" s="580" t="s">
        <v>959</v>
      </c>
      <c r="Y62" s="563">
        <f>$T$63+SUM($R$58:$R$94)+$N$56*2.2+$N$57*3.5</f>
        <v>682.2751919329321</v>
      </c>
      <c r="Z62" s="563">
        <f>Y62-$Y$32</f>
        <v>114.43564518154437</v>
      </c>
      <c r="AA62" s="581">
        <f>(2.2-1.26)*$P$56</f>
        <v>12.105139520000002</v>
      </c>
      <c r="AB62" s="582"/>
      <c r="AC62" s="525"/>
      <c r="AD62" s="583" t="s">
        <v>879</v>
      </c>
      <c r="AE62" s="584">
        <v>5.0880057866202533E-2</v>
      </c>
      <c r="AF62" s="475"/>
      <c r="AG62" s="476"/>
      <c r="AH62" s="477"/>
      <c r="AI62" s="477"/>
      <c r="AJ62" s="477"/>
      <c r="AK62" s="477"/>
      <c r="AL62" s="477"/>
      <c r="AM62" s="477"/>
      <c r="AN62" s="477"/>
      <c r="AO62" s="477"/>
      <c r="AP62" s="477"/>
      <c r="AQ62" s="477"/>
      <c r="AR62" s="477"/>
      <c r="AS62" s="477"/>
      <c r="AT62" s="477"/>
      <c r="AU62" s="477"/>
      <c r="AV62" s="477"/>
      <c r="AW62" s="477"/>
      <c r="AX62" s="477"/>
      <c r="AY62" s="477"/>
      <c r="AZ62" s="477"/>
      <c r="BA62" s="477"/>
      <c r="BB62" s="477"/>
      <c r="BC62" s="477"/>
      <c r="BD62" s="477"/>
      <c r="BE62" s="477"/>
      <c r="BF62" s="477"/>
      <c r="BG62" s="477"/>
    </row>
    <row r="63" spans="1:123">
      <c r="A63" s="2337"/>
      <c r="B63" s="2273"/>
      <c r="C63" s="2274"/>
      <c r="D63" s="568" t="s">
        <v>928</v>
      </c>
      <c r="E63" s="639">
        <v>30</v>
      </c>
      <c r="F63" s="585" t="s">
        <v>35</v>
      </c>
      <c r="G63" s="585" t="s">
        <v>35</v>
      </c>
      <c r="H63" s="549">
        <v>932.8451</v>
      </c>
      <c r="I63" s="550">
        <v>253.1696</v>
      </c>
      <c r="J63" s="571" t="s">
        <v>35</v>
      </c>
      <c r="K63" s="572" t="s">
        <v>35</v>
      </c>
      <c r="L63" s="571" t="s">
        <v>35</v>
      </c>
      <c r="M63" s="572" t="s">
        <v>35</v>
      </c>
      <c r="N63" s="575">
        <v>134.56294969999999</v>
      </c>
      <c r="O63" s="576">
        <v>2.83</v>
      </c>
      <c r="P63" s="576">
        <v>47.512053999999999</v>
      </c>
      <c r="Q63" s="486">
        <f>682.845495/$T$61</f>
        <v>7.6059334692240863E-3</v>
      </c>
      <c r="R63" s="2285"/>
      <c r="S63" s="598">
        <v>0.74015799999999998</v>
      </c>
      <c r="T63" s="599">
        <v>-342.06644469999998</v>
      </c>
      <c r="U63" s="600"/>
      <c r="V63" s="2164"/>
      <c r="W63" s="579" t="s">
        <v>174</v>
      </c>
      <c r="X63" s="580" t="s">
        <v>960</v>
      </c>
      <c r="Y63" s="563">
        <f>$T$63+SUM($R$58:$R$94)+$N$56*2.4+$N$57*3.5</f>
        <v>688.05494999293205</v>
      </c>
      <c r="Z63" s="563">
        <f>Y63-$Y$32</f>
        <v>120.21540324154432</v>
      </c>
      <c r="AA63" s="581">
        <f>(2.4-1.26)*$P$56</f>
        <v>14.680701119999998</v>
      </c>
      <c r="AB63" s="582"/>
      <c r="AC63" s="525"/>
      <c r="AD63" s="583" t="s">
        <v>882</v>
      </c>
      <c r="AE63" s="584">
        <v>17.104087815246618</v>
      </c>
      <c r="AF63" s="475"/>
      <c r="AG63" s="476"/>
      <c r="AH63" s="477"/>
      <c r="AI63" s="477"/>
      <c r="AJ63" s="477"/>
      <c r="AK63" s="477"/>
      <c r="AL63" s="477"/>
      <c r="AM63" s="477"/>
      <c r="AN63" s="477"/>
      <c r="AO63" s="477"/>
      <c r="AP63" s="477"/>
      <c r="AQ63" s="477"/>
      <c r="AR63" s="477"/>
      <c r="AS63" s="477"/>
      <c r="AT63" s="477"/>
      <c r="AU63" s="477"/>
      <c r="AV63" s="477"/>
      <c r="AW63" s="477"/>
      <c r="AX63" s="477"/>
      <c r="AY63" s="477"/>
      <c r="AZ63" s="477"/>
      <c r="BA63" s="477"/>
      <c r="BB63" s="477"/>
      <c r="BC63" s="477"/>
      <c r="BD63" s="477"/>
      <c r="BE63" s="477"/>
      <c r="BF63" s="477"/>
      <c r="BG63" s="477"/>
    </row>
    <row r="64" spans="1:123">
      <c r="A64" s="2337"/>
      <c r="B64" s="2273"/>
      <c r="C64" s="2274"/>
      <c r="D64" s="568" t="s">
        <v>961</v>
      </c>
      <c r="E64" s="639">
        <v>117</v>
      </c>
      <c r="F64" s="585" t="s">
        <v>35</v>
      </c>
      <c r="G64" s="585" t="s">
        <v>35</v>
      </c>
      <c r="H64" s="549">
        <v>654.93690000000004</v>
      </c>
      <c r="I64" s="550">
        <v>144.84800000000001</v>
      </c>
      <c r="J64" s="571" t="s">
        <v>35</v>
      </c>
      <c r="K64" s="572" t="s">
        <v>35</v>
      </c>
      <c r="L64" s="571" t="s">
        <v>35</v>
      </c>
      <c r="M64" s="572" t="s">
        <v>35</v>
      </c>
      <c r="N64" s="575">
        <v>0</v>
      </c>
      <c r="O64" s="576" t="s">
        <v>926</v>
      </c>
      <c r="P64" s="576" t="s">
        <v>926</v>
      </c>
      <c r="Q64" s="486">
        <f>34691.834505/$T$61</f>
        <v>0.38641799221412815</v>
      </c>
      <c r="R64" s="2285"/>
      <c r="S64" s="601" t="s">
        <v>883</v>
      </c>
      <c r="T64" s="511" t="s">
        <v>884</v>
      </c>
      <c r="U64" s="470"/>
      <c r="V64" s="524"/>
      <c r="W64" s="525"/>
      <c r="X64" s="525"/>
      <c r="Y64" s="515"/>
      <c r="Z64" s="515"/>
      <c r="AA64" s="515"/>
      <c r="AB64" s="454"/>
      <c r="AC64" s="525"/>
      <c r="AD64" s="583" t="s">
        <v>886</v>
      </c>
      <c r="AE64" s="584">
        <v>1.3923550053229921</v>
      </c>
      <c r="AF64" s="475"/>
      <c r="AG64" s="476"/>
      <c r="AH64" s="477"/>
      <c r="AI64" s="477"/>
      <c r="AJ64" s="477"/>
      <c r="AK64" s="477"/>
      <c r="AL64" s="477"/>
      <c r="AM64" s="477"/>
      <c r="AN64" s="477"/>
      <c r="AO64" s="477"/>
      <c r="AP64" s="477"/>
      <c r="AQ64" s="477"/>
      <c r="AR64" s="477"/>
      <c r="AS64" s="477"/>
      <c r="AT64" s="477"/>
      <c r="AU64" s="477"/>
      <c r="AV64" s="477"/>
      <c r="AW64" s="477"/>
      <c r="AX64" s="477"/>
      <c r="AY64" s="477"/>
      <c r="AZ64" s="477"/>
      <c r="BA64" s="477"/>
      <c r="BB64" s="477"/>
      <c r="BC64" s="477"/>
      <c r="BD64" s="477"/>
      <c r="BE64" s="477"/>
      <c r="BF64" s="477"/>
      <c r="BG64" s="477"/>
    </row>
    <row r="65" spans="1:59">
      <c r="A65" s="2337"/>
      <c r="B65" s="2273" t="s">
        <v>880</v>
      </c>
      <c r="C65" s="2274" t="s">
        <v>862</v>
      </c>
      <c r="D65" s="487">
        <v>1</v>
      </c>
      <c r="E65" s="639">
        <v>186</v>
      </c>
      <c r="F65" s="585" t="s">
        <v>35</v>
      </c>
      <c r="G65" s="585" t="s">
        <v>35</v>
      </c>
      <c r="H65" s="549">
        <v>686.39300000000003</v>
      </c>
      <c r="I65" s="550">
        <v>181.6703</v>
      </c>
      <c r="J65" s="571" t="s">
        <v>35</v>
      </c>
      <c r="K65" s="572" t="s">
        <v>35</v>
      </c>
      <c r="L65" s="571" t="s">
        <v>35</v>
      </c>
      <c r="M65" s="572" t="s">
        <v>35</v>
      </c>
      <c r="N65" s="575">
        <v>1.2357795</v>
      </c>
      <c r="O65" s="576">
        <v>0.11</v>
      </c>
      <c r="P65" s="576">
        <v>11.682225000000001</v>
      </c>
      <c r="Q65" s="486">
        <f>20460/$T$61</f>
        <v>0.22789547550624875</v>
      </c>
      <c r="R65" s="2285">
        <f>SUMPRODUCT(N65:N68,Q65:Q68)</f>
        <v>16.223078900199383</v>
      </c>
      <c r="S65" s="602">
        <v>142.31200000000001</v>
      </c>
      <c r="T65" s="513" t="s">
        <v>35</v>
      </c>
      <c r="U65" s="603"/>
      <c r="V65" s="524"/>
      <c r="W65" s="525"/>
      <c r="X65" s="525"/>
      <c r="Y65" s="515"/>
      <c r="Z65" s="515"/>
      <c r="AA65" s="515"/>
      <c r="AB65" s="454"/>
      <c r="AC65" s="525"/>
      <c r="AD65" s="583" t="s">
        <v>888</v>
      </c>
      <c r="AE65" s="584">
        <v>5.2651502444631433</v>
      </c>
      <c r="AF65" s="475"/>
      <c r="AG65" s="476"/>
      <c r="AH65" s="477"/>
      <c r="AI65" s="477"/>
      <c r="AJ65" s="477"/>
      <c r="AK65" s="477"/>
      <c r="AL65" s="477"/>
      <c r="AM65" s="477"/>
      <c r="AN65" s="477"/>
      <c r="AO65" s="477"/>
      <c r="AP65" s="477"/>
      <c r="AQ65" s="477"/>
      <c r="AR65" s="477"/>
      <c r="AS65" s="477"/>
      <c r="AT65" s="477"/>
      <c r="AU65" s="477"/>
      <c r="AV65" s="477"/>
      <c r="AW65" s="477"/>
      <c r="AX65" s="477"/>
      <c r="AY65" s="477"/>
      <c r="AZ65" s="477"/>
      <c r="BA65" s="477"/>
      <c r="BB65" s="477"/>
      <c r="BC65" s="477"/>
      <c r="BD65" s="477"/>
      <c r="BE65" s="477"/>
      <c r="BF65" s="477"/>
      <c r="BG65" s="477"/>
    </row>
    <row r="66" spans="1:59">
      <c r="A66" s="2337"/>
      <c r="B66" s="2273"/>
      <c r="C66" s="2274"/>
      <c r="D66" s="487">
        <v>2</v>
      </c>
      <c r="E66" s="639">
        <v>193</v>
      </c>
      <c r="F66" s="585" t="s">
        <v>35</v>
      </c>
      <c r="G66" s="585" t="s">
        <v>35</v>
      </c>
      <c r="H66" s="549">
        <v>736.12540000000001</v>
      </c>
      <c r="I66" s="550">
        <v>195.70140000000001</v>
      </c>
      <c r="J66" s="571" t="s">
        <v>35</v>
      </c>
      <c r="K66" s="572" t="s">
        <v>35</v>
      </c>
      <c r="L66" s="571" t="s">
        <v>35</v>
      </c>
      <c r="M66" s="572" t="s">
        <v>35</v>
      </c>
      <c r="N66" s="575">
        <v>26.3639568</v>
      </c>
      <c r="O66" s="576">
        <v>2.41</v>
      </c>
      <c r="P66" s="576">
        <v>10.931822</v>
      </c>
      <c r="Q66" s="486">
        <f>25750/$T$61</f>
        <v>0.28681859698367085</v>
      </c>
      <c r="R66" s="2285"/>
      <c r="S66" s="604"/>
      <c r="T66" s="605"/>
      <c r="U66" s="606"/>
      <c r="V66" s="524"/>
      <c r="W66" s="525"/>
      <c r="X66" s="525"/>
      <c r="Y66" s="515"/>
      <c r="Z66" s="515"/>
      <c r="AA66" s="515"/>
      <c r="AB66" s="454"/>
      <c r="AC66" s="525"/>
      <c r="AD66" s="583" t="s">
        <v>890</v>
      </c>
      <c r="AE66" s="584">
        <v>-0.92900917065390742</v>
      </c>
      <c r="AF66" s="475"/>
      <c r="AG66" s="476"/>
      <c r="AH66" s="477"/>
      <c r="AI66" s="477"/>
      <c r="AJ66" s="477"/>
      <c r="AK66" s="477"/>
      <c r="AL66" s="477"/>
      <c r="AM66" s="477"/>
      <c r="AN66" s="477"/>
      <c r="AO66" s="477"/>
      <c r="AP66" s="477"/>
      <c r="AQ66" s="477"/>
      <c r="AR66" s="477"/>
      <c r="AS66" s="477"/>
      <c r="AT66" s="477"/>
      <c r="AU66" s="477"/>
      <c r="AV66" s="477"/>
      <c r="AW66" s="477"/>
      <c r="AX66" s="477"/>
      <c r="AY66" s="477"/>
      <c r="AZ66" s="477"/>
      <c r="BA66" s="477"/>
      <c r="BB66" s="477"/>
      <c r="BC66" s="477"/>
      <c r="BD66" s="477"/>
      <c r="BE66" s="477"/>
      <c r="BF66" s="477"/>
      <c r="BG66" s="477"/>
    </row>
    <row r="67" spans="1:59">
      <c r="A67" s="2337"/>
      <c r="B67" s="2273"/>
      <c r="C67" s="2274"/>
      <c r="D67" s="487">
        <v>3</v>
      </c>
      <c r="E67" s="639">
        <v>194</v>
      </c>
      <c r="F67" s="585" t="s">
        <v>35</v>
      </c>
      <c r="G67" s="585" t="s">
        <v>35</v>
      </c>
      <c r="H67" s="549">
        <v>739.31039999999996</v>
      </c>
      <c r="I67" s="550">
        <v>192.95779999999999</v>
      </c>
      <c r="J67" s="571" t="s">
        <v>35</v>
      </c>
      <c r="K67" s="572" t="s">
        <v>35</v>
      </c>
      <c r="L67" s="571" t="s">
        <v>35</v>
      </c>
      <c r="M67" s="572" t="s">
        <v>35</v>
      </c>
      <c r="N67" s="575">
        <v>28.4527681</v>
      </c>
      <c r="O67" s="576">
        <v>2.63</v>
      </c>
      <c r="P67" s="576">
        <v>10.821668000000001</v>
      </c>
      <c r="Q67" s="486">
        <f>26441/$T$61</f>
        <v>0.29451536011049478</v>
      </c>
      <c r="R67" s="2285"/>
      <c r="S67" s="604"/>
      <c r="T67" s="605"/>
      <c r="U67" s="606"/>
      <c r="V67" s="524"/>
      <c r="W67" s="525"/>
      <c r="X67" s="525"/>
      <c r="Y67" s="515"/>
      <c r="Z67" s="515"/>
      <c r="AA67" s="515"/>
      <c r="AB67" s="454"/>
      <c r="AC67" s="525"/>
      <c r="AD67" s="583" t="s">
        <v>894</v>
      </c>
      <c r="AE67" s="584">
        <v>4.3361410738092356</v>
      </c>
      <c r="AF67" s="475"/>
      <c r="AG67" s="476"/>
      <c r="AH67" s="477"/>
      <c r="AI67" s="477"/>
      <c r="AJ67" s="477"/>
      <c r="AK67" s="477"/>
      <c r="AL67" s="477"/>
      <c r="AM67" s="477"/>
      <c r="AN67" s="477"/>
      <c r="AO67" s="477"/>
      <c r="AP67" s="477"/>
      <c r="AQ67" s="477"/>
      <c r="AR67" s="477"/>
      <c r="AS67" s="477"/>
      <c r="AT67" s="477"/>
      <c r="AU67" s="477"/>
      <c r="AV67" s="477"/>
      <c r="AW67" s="477"/>
      <c r="AX67" s="477"/>
      <c r="AY67" s="477"/>
      <c r="AZ67" s="477"/>
      <c r="BA67" s="477"/>
      <c r="BB67" s="477"/>
      <c r="BC67" s="477"/>
      <c r="BD67" s="477"/>
      <c r="BE67" s="477"/>
      <c r="BF67" s="477"/>
      <c r="BG67" s="477"/>
    </row>
    <row r="68" spans="1:59">
      <c r="A68" s="2337"/>
      <c r="B68" s="2273"/>
      <c r="C68" s="2274"/>
      <c r="D68" s="487">
        <v>4</v>
      </c>
      <c r="E68" s="639">
        <v>181</v>
      </c>
      <c r="F68" s="585" t="s">
        <v>35</v>
      </c>
      <c r="G68" s="585" t="s">
        <v>35</v>
      </c>
      <c r="H68" s="549">
        <v>737.48810000000003</v>
      </c>
      <c r="I68" s="550">
        <v>186.9083</v>
      </c>
      <c r="J68" s="571" t="s">
        <v>35</v>
      </c>
      <c r="K68" s="572" t="s">
        <v>35</v>
      </c>
      <c r="L68" s="571" t="s">
        <v>35</v>
      </c>
      <c r="M68" s="572" t="s">
        <v>35</v>
      </c>
      <c r="N68" s="575">
        <v>0</v>
      </c>
      <c r="O68" s="576" t="s">
        <v>926</v>
      </c>
      <c r="P68" s="576" t="s">
        <v>926</v>
      </c>
      <c r="Q68" s="486">
        <f>17127/$T$61</f>
        <v>0.19077056739958564</v>
      </c>
      <c r="R68" s="2285"/>
      <c r="S68" s="604"/>
      <c r="T68" s="605"/>
      <c r="U68" s="606"/>
      <c r="V68" s="524"/>
      <c r="W68" s="525"/>
      <c r="X68" s="525"/>
      <c r="Y68" s="515"/>
      <c r="Z68" s="515"/>
      <c r="AA68" s="515"/>
      <c r="AB68" s="454"/>
      <c r="AC68" s="525"/>
      <c r="AD68" s="583" t="s">
        <v>897</v>
      </c>
      <c r="AE68" s="584">
        <v>9.5046778439229769</v>
      </c>
      <c r="AF68" s="475"/>
      <c r="AG68" s="476"/>
      <c r="AH68" s="477"/>
      <c r="AI68" s="477"/>
      <c r="AJ68" s="477"/>
      <c r="AK68" s="477"/>
      <c r="AL68" s="477"/>
      <c r="AM68" s="477"/>
      <c r="AN68" s="477"/>
      <c r="AO68" s="477"/>
      <c r="AP68" s="477"/>
      <c r="AQ68" s="477"/>
      <c r="AR68" s="477"/>
      <c r="AS68" s="477"/>
      <c r="AT68" s="477"/>
      <c r="AU68" s="477"/>
      <c r="AV68" s="477"/>
      <c r="AW68" s="477"/>
      <c r="AX68" s="477"/>
      <c r="AY68" s="477"/>
      <c r="AZ68" s="477"/>
      <c r="BA68" s="477"/>
      <c r="BB68" s="477"/>
      <c r="BC68" s="477"/>
      <c r="BD68" s="477"/>
      <c r="BE68" s="477"/>
      <c r="BF68" s="477"/>
      <c r="BG68" s="477"/>
    </row>
    <row r="69" spans="1:59">
      <c r="A69" s="2337"/>
      <c r="B69" s="2273" t="s">
        <v>547</v>
      </c>
      <c r="C69" s="2274" t="s">
        <v>862</v>
      </c>
      <c r="D69" s="568" t="s">
        <v>935</v>
      </c>
      <c r="E69" s="639">
        <v>4</v>
      </c>
      <c r="F69" s="585" t="s">
        <v>35</v>
      </c>
      <c r="G69" s="585" t="s">
        <v>35</v>
      </c>
      <c r="H69" s="549">
        <v>424.08199999999999</v>
      </c>
      <c r="I69" s="550">
        <v>20.11619</v>
      </c>
      <c r="J69" s="571" t="s">
        <v>35</v>
      </c>
      <c r="K69" s="572" t="s">
        <v>35</v>
      </c>
      <c r="L69" s="571" t="s">
        <v>35</v>
      </c>
      <c r="M69" s="572" t="s">
        <v>35</v>
      </c>
      <c r="N69" s="575">
        <v>-112.2255691</v>
      </c>
      <c r="O69" s="576">
        <v>-0.39</v>
      </c>
      <c r="P69" s="576">
        <v>287.09775000000002</v>
      </c>
      <c r="Q69" s="486">
        <f>14.478801/$T$61</f>
        <v>1.612733743233309E-4</v>
      </c>
      <c r="R69" s="2285">
        <f>SUMPRODUCT(N69:N78,Q69:Q78)</f>
        <v>22.596118120579714</v>
      </c>
      <c r="S69" s="604"/>
      <c r="T69" s="605"/>
      <c r="U69" s="606"/>
      <c r="V69" s="524"/>
      <c r="W69" s="525"/>
      <c r="X69" s="525"/>
      <c r="Y69" s="515"/>
      <c r="Z69" s="515"/>
      <c r="AA69" s="515"/>
      <c r="AB69" s="454"/>
      <c r="AC69" s="525"/>
      <c r="AD69" s="583" t="s">
        <v>794</v>
      </c>
      <c r="AE69" s="641">
        <v>18688</v>
      </c>
      <c r="AF69" s="475"/>
      <c r="AG69" s="476"/>
      <c r="AH69" s="477"/>
      <c r="AI69" s="477"/>
      <c r="AJ69" s="477"/>
      <c r="AK69" s="477"/>
      <c r="AL69" s="477"/>
      <c r="AM69" s="477"/>
      <c r="AN69" s="477"/>
      <c r="AO69" s="477"/>
      <c r="AP69" s="477"/>
      <c r="AQ69" s="477"/>
      <c r="AR69" s="477"/>
      <c r="AS69" s="477"/>
      <c r="AT69" s="477"/>
      <c r="AU69" s="477"/>
      <c r="AV69" s="477"/>
      <c r="AW69" s="477"/>
      <c r="AX69" s="477"/>
      <c r="AY69" s="477"/>
      <c r="AZ69" s="477"/>
      <c r="BA69" s="477"/>
      <c r="BB69" s="477"/>
      <c r="BC69" s="477"/>
      <c r="BD69" s="477"/>
      <c r="BE69" s="477"/>
      <c r="BF69" s="477"/>
      <c r="BG69" s="477"/>
    </row>
    <row r="70" spans="1:59" ht="15" thickBot="1">
      <c r="A70" s="2337"/>
      <c r="B70" s="2273"/>
      <c r="C70" s="2274"/>
      <c r="D70" s="568" t="s">
        <v>962</v>
      </c>
      <c r="E70" s="639">
        <v>20</v>
      </c>
      <c r="F70" s="585" t="s">
        <v>35</v>
      </c>
      <c r="G70" s="585" t="s">
        <v>35</v>
      </c>
      <c r="H70" s="549">
        <v>704.08950000000004</v>
      </c>
      <c r="I70" s="550">
        <v>185.34229999999999</v>
      </c>
      <c r="J70" s="571" t="s">
        <v>35</v>
      </c>
      <c r="K70" s="572" t="s">
        <v>35</v>
      </c>
      <c r="L70" s="571" t="s">
        <v>35</v>
      </c>
      <c r="M70" s="572" t="s">
        <v>35</v>
      </c>
      <c r="N70" s="575">
        <v>185.64528680000001</v>
      </c>
      <c r="O70" s="576">
        <v>5.03</v>
      </c>
      <c r="P70" s="576">
        <v>36.889501000000003</v>
      </c>
      <c r="Q70" s="486">
        <f>1223.71/$T$61</f>
        <v>1.3630399429704383E-2</v>
      </c>
      <c r="R70" s="2285"/>
      <c r="S70" s="604"/>
      <c r="T70" s="605"/>
      <c r="U70" s="606"/>
      <c r="V70" s="524"/>
      <c r="W70" s="525"/>
      <c r="X70" s="525"/>
      <c r="Y70" s="515"/>
      <c r="Z70" s="515"/>
      <c r="AA70" s="515"/>
      <c r="AB70" s="454"/>
      <c r="AC70" s="525"/>
      <c r="AD70" s="642" t="s">
        <v>939</v>
      </c>
      <c r="AE70" s="643">
        <v>3.2342129140644962E-3</v>
      </c>
      <c r="AF70" s="475"/>
      <c r="AG70" s="476"/>
      <c r="AH70" s="477"/>
      <c r="AI70" s="477"/>
      <c r="AJ70" s="477"/>
      <c r="AK70" s="477"/>
      <c r="AL70" s="477"/>
      <c r="AM70" s="477"/>
      <c r="AN70" s="477"/>
      <c r="AO70" s="477"/>
      <c r="AP70" s="477"/>
      <c r="AQ70" s="477"/>
      <c r="AR70" s="477"/>
      <c r="AS70" s="477"/>
      <c r="AT70" s="477"/>
      <c r="AU70" s="477"/>
      <c r="AV70" s="477"/>
      <c r="AW70" s="477"/>
      <c r="AX70" s="477"/>
      <c r="AY70" s="477"/>
      <c r="AZ70" s="477"/>
      <c r="BA70" s="477"/>
      <c r="BB70" s="477"/>
      <c r="BC70" s="477"/>
      <c r="BD70" s="477"/>
      <c r="BE70" s="477"/>
      <c r="BF70" s="477"/>
      <c r="BG70" s="477"/>
    </row>
    <row r="71" spans="1:59">
      <c r="A71" s="2337"/>
      <c r="B71" s="2273"/>
      <c r="C71" s="2274"/>
      <c r="D71" s="568" t="s">
        <v>963</v>
      </c>
      <c r="E71" s="639">
        <v>2</v>
      </c>
      <c r="F71" s="585" t="s">
        <v>35</v>
      </c>
      <c r="G71" s="585" t="s">
        <v>35</v>
      </c>
      <c r="H71" s="549">
        <v>1089.521</v>
      </c>
      <c r="I71" s="550">
        <v>235.929</v>
      </c>
      <c r="J71" s="571" t="s">
        <v>35</v>
      </c>
      <c r="K71" s="572" t="s">
        <v>35</v>
      </c>
      <c r="L71" s="571" t="s">
        <v>35</v>
      </c>
      <c r="M71" s="572" t="s">
        <v>35</v>
      </c>
      <c r="N71" s="575">
        <v>178.95297339999999</v>
      </c>
      <c r="O71" s="576">
        <v>0.38</v>
      </c>
      <c r="P71" s="576">
        <v>470.92482200000001</v>
      </c>
      <c r="Q71" s="486">
        <f>5.363717/$T$61</f>
        <v>5.9744224643008313E-5</v>
      </c>
      <c r="R71" s="2285"/>
      <c r="S71" s="604"/>
      <c r="T71" s="605"/>
      <c r="U71" s="606"/>
      <c r="V71" s="524"/>
      <c r="W71" s="525"/>
      <c r="X71" s="525"/>
      <c r="Y71" s="515"/>
      <c r="Z71" s="515"/>
      <c r="AA71" s="515"/>
      <c r="AB71" s="454"/>
      <c r="AC71" s="525"/>
      <c r="AD71" s="525"/>
      <c r="AE71" s="525"/>
      <c r="AF71" s="475"/>
      <c r="AG71" s="476"/>
      <c r="AH71" s="477"/>
      <c r="AI71" s="477"/>
      <c r="AJ71" s="477"/>
      <c r="AK71" s="477"/>
      <c r="AL71" s="477"/>
      <c r="AM71" s="477"/>
      <c r="AN71" s="477"/>
      <c r="AO71" s="477"/>
      <c r="AP71" s="477"/>
      <c r="AQ71" s="477"/>
      <c r="AR71" s="477"/>
      <c r="AS71" s="477"/>
      <c r="AT71" s="477"/>
      <c r="AU71" s="477"/>
      <c r="AV71" s="477"/>
      <c r="AW71" s="477"/>
      <c r="AX71" s="477"/>
      <c r="AY71" s="477"/>
      <c r="AZ71" s="477"/>
      <c r="BA71" s="477"/>
      <c r="BB71" s="477"/>
      <c r="BC71" s="477"/>
      <c r="BD71" s="477"/>
      <c r="BE71" s="477"/>
      <c r="BF71" s="477"/>
      <c r="BG71" s="477"/>
    </row>
    <row r="72" spans="1:59">
      <c r="A72" s="2337"/>
      <c r="B72" s="2273"/>
      <c r="C72" s="2274"/>
      <c r="D72" s="568" t="s">
        <v>964</v>
      </c>
      <c r="E72" s="639">
        <v>51</v>
      </c>
      <c r="F72" s="585" t="s">
        <v>35</v>
      </c>
      <c r="G72" s="585" t="s">
        <v>35</v>
      </c>
      <c r="H72" s="549">
        <v>911.51149999999996</v>
      </c>
      <c r="I72" s="550">
        <v>206.1602</v>
      </c>
      <c r="J72" s="571" t="s">
        <v>35</v>
      </c>
      <c r="K72" s="572" t="s">
        <v>35</v>
      </c>
      <c r="L72" s="571" t="s">
        <v>35</v>
      </c>
      <c r="M72" s="572" t="s">
        <v>35</v>
      </c>
      <c r="N72" s="575">
        <v>29.043451999999998</v>
      </c>
      <c r="O72" s="576">
        <v>1</v>
      </c>
      <c r="P72" s="576">
        <v>29.161238000000001</v>
      </c>
      <c r="Q72" s="486">
        <f>2327.32/$T$61</f>
        <v>2.5923054645904345E-2</v>
      </c>
      <c r="R72" s="2285"/>
      <c r="S72" s="604"/>
      <c r="T72" s="605"/>
      <c r="U72" s="606"/>
      <c r="V72" s="524"/>
      <c r="W72" s="525"/>
      <c r="X72" s="525"/>
      <c r="Y72" s="515"/>
      <c r="Z72" s="515"/>
      <c r="AA72" s="515"/>
      <c r="AB72" s="454"/>
      <c r="AC72" s="525"/>
      <c r="AD72" s="525"/>
      <c r="AE72" s="525"/>
      <c r="AF72" s="475"/>
      <c r="AG72" s="476"/>
      <c r="AH72" s="477"/>
      <c r="AI72" s="477"/>
      <c r="AJ72" s="477"/>
      <c r="AK72" s="477"/>
      <c r="AL72" s="477"/>
      <c r="AM72" s="477"/>
      <c r="AN72" s="477"/>
      <c r="AO72" s="477"/>
      <c r="AP72" s="477"/>
      <c r="AQ72" s="477"/>
      <c r="AR72" s="477"/>
      <c r="AS72" s="477"/>
      <c r="AT72" s="477"/>
      <c r="AU72" s="477"/>
      <c r="AV72" s="477"/>
      <c r="AW72" s="477"/>
      <c r="AX72" s="477"/>
      <c r="AY72" s="477"/>
      <c r="AZ72" s="477"/>
      <c r="BA72" s="477"/>
      <c r="BB72" s="477"/>
      <c r="BC72" s="477"/>
      <c r="BD72" s="477"/>
      <c r="BE72" s="477"/>
      <c r="BF72" s="477"/>
      <c r="BG72" s="477"/>
    </row>
    <row r="73" spans="1:59">
      <c r="A73" s="2337"/>
      <c r="B73" s="2273"/>
      <c r="C73" s="2274"/>
      <c r="D73" s="568" t="s">
        <v>965</v>
      </c>
      <c r="E73" s="639">
        <v>71</v>
      </c>
      <c r="F73" s="585" t="s">
        <v>35</v>
      </c>
      <c r="G73" s="585" t="s">
        <v>35</v>
      </c>
      <c r="H73" s="549">
        <v>517.79880000000003</v>
      </c>
      <c r="I73" s="550">
        <v>66.527150000000006</v>
      </c>
      <c r="J73" s="571" t="s">
        <v>35</v>
      </c>
      <c r="K73" s="572" t="s">
        <v>35</v>
      </c>
      <c r="L73" s="571" t="s">
        <v>35</v>
      </c>
      <c r="M73" s="572" t="s">
        <v>35</v>
      </c>
      <c r="N73" s="575">
        <v>-122.1371979</v>
      </c>
      <c r="O73" s="576">
        <v>-6.54</v>
      </c>
      <c r="P73" s="576">
        <v>18.677866000000002</v>
      </c>
      <c r="Q73" s="486">
        <f>6584.63/$T$61</f>
        <v>7.3343469446857809E-2</v>
      </c>
      <c r="R73" s="2285"/>
      <c r="S73" s="604"/>
      <c r="T73" s="605"/>
      <c r="U73" s="606"/>
      <c r="V73" s="524"/>
      <c r="W73" s="525"/>
      <c r="X73" s="525"/>
      <c r="Y73" s="515"/>
      <c r="Z73" s="515"/>
      <c r="AA73" s="515"/>
      <c r="AB73" s="454"/>
      <c r="AC73" s="525"/>
      <c r="AD73" s="525"/>
      <c r="AE73" s="525"/>
      <c r="AF73" s="475"/>
      <c r="AG73" s="476"/>
      <c r="AH73" s="477"/>
      <c r="AI73" s="477"/>
      <c r="AJ73" s="477"/>
      <c r="AK73" s="477"/>
      <c r="AL73" s="477"/>
      <c r="AM73" s="477"/>
      <c r="AN73" s="477"/>
      <c r="AO73" s="477"/>
      <c r="AP73" s="477"/>
      <c r="AQ73" s="477"/>
      <c r="AR73" s="477"/>
      <c r="AS73" s="477"/>
      <c r="AT73" s="477"/>
      <c r="AU73" s="477"/>
      <c r="AV73" s="477"/>
      <c r="AW73" s="477"/>
      <c r="AX73" s="477"/>
      <c r="AY73" s="477"/>
      <c r="AZ73" s="477"/>
      <c r="BA73" s="477"/>
      <c r="BB73" s="477"/>
      <c r="BC73" s="477"/>
      <c r="BD73" s="477"/>
      <c r="BE73" s="477"/>
      <c r="BF73" s="477"/>
      <c r="BG73" s="477"/>
    </row>
    <row r="74" spans="1:59">
      <c r="A74" s="2337"/>
      <c r="B74" s="2273"/>
      <c r="C74" s="2274"/>
      <c r="D74" s="568" t="s">
        <v>938</v>
      </c>
      <c r="E74" s="639">
        <v>79</v>
      </c>
      <c r="F74" s="585" t="s">
        <v>35</v>
      </c>
      <c r="G74" s="585" t="s">
        <v>35</v>
      </c>
      <c r="H74" s="549">
        <v>738.40539999999999</v>
      </c>
      <c r="I74" s="550">
        <v>130.8527</v>
      </c>
      <c r="J74" s="571" t="s">
        <v>35</v>
      </c>
      <c r="K74" s="572" t="s">
        <v>35</v>
      </c>
      <c r="L74" s="571" t="s">
        <v>35</v>
      </c>
      <c r="M74" s="572" t="s">
        <v>35</v>
      </c>
      <c r="N74" s="575">
        <v>58.437910700000003</v>
      </c>
      <c r="O74" s="576">
        <v>1.96</v>
      </c>
      <c r="P74" s="576">
        <v>29.796125</v>
      </c>
      <c r="Q74" s="486">
        <f>1968/$T$61</f>
        <v>2.1920737819955891E-2</v>
      </c>
      <c r="R74" s="2285"/>
      <c r="S74" s="604"/>
      <c r="T74" s="605"/>
      <c r="U74" s="606"/>
      <c r="V74" s="524"/>
      <c r="W74" s="525"/>
      <c r="X74" s="525"/>
      <c r="Y74" s="515"/>
      <c r="Z74" s="515"/>
      <c r="AA74" s="515"/>
      <c r="AB74" s="454"/>
      <c r="AC74" s="525"/>
      <c r="AD74" s="525"/>
      <c r="AE74" s="525"/>
      <c r="AF74" s="475"/>
      <c r="AG74" s="476"/>
      <c r="AH74" s="477"/>
      <c r="AI74" s="477"/>
      <c r="AJ74" s="477"/>
      <c r="AK74" s="477"/>
      <c r="AL74" s="477"/>
      <c r="AM74" s="477"/>
      <c r="AN74" s="477"/>
      <c r="AO74" s="477"/>
      <c r="AP74" s="477"/>
      <c r="AQ74" s="477"/>
      <c r="AR74" s="477"/>
      <c r="AS74" s="477"/>
      <c r="AT74" s="477"/>
      <c r="AU74" s="477"/>
      <c r="AV74" s="477"/>
      <c r="AW74" s="477"/>
      <c r="AX74" s="477"/>
      <c r="AY74" s="477"/>
      <c r="AZ74" s="477"/>
      <c r="BA74" s="477"/>
      <c r="BB74" s="477"/>
      <c r="BC74" s="477"/>
      <c r="BD74" s="477"/>
      <c r="BE74" s="477"/>
      <c r="BF74" s="477"/>
      <c r="BG74" s="477"/>
    </row>
    <row r="75" spans="1:59">
      <c r="A75" s="2337"/>
      <c r="B75" s="2273"/>
      <c r="C75" s="2274"/>
      <c r="D75" s="568" t="s">
        <v>941</v>
      </c>
      <c r="E75" s="639">
        <v>146</v>
      </c>
      <c r="F75" s="585" t="s">
        <v>35</v>
      </c>
      <c r="G75" s="585" t="s">
        <v>35</v>
      </c>
      <c r="H75" s="549">
        <v>758.67439999999999</v>
      </c>
      <c r="I75" s="550">
        <v>198.57749999999999</v>
      </c>
      <c r="J75" s="571" t="s">
        <v>35</v>
      </c>
      <c r="K75" s="572" t="s">
        <v>35</v>
      </c>
      <c r="L75" s="571" t="s">
        <v>35</v>
      </c>
      <c r="M75" s="572" t="s">
        <v>35</v>
      </c>
      <c r="N75" s="575">
        <v>88.546303600000002</v>
      </c>
      <c r="O75" s="576">
        <v>6.23</v>
      </c>
      <c r="P75" s="576">
        <v>14.208622</v>
      </c>
      <c r="Q75" s="486">
        <f>17960.74/$T$61</f>
        <v>0.20005725233353386</v>
      </c>
      <c r="R75" s="2285"/>
      <c r="S75" s="604"/>
      <c r="T75" s="605"/>
      <c r="U75" s="606"/>
      <c r="V75" s="524"/>
      <c r="W75" s="525"/>
      <c r="X75" s="525"/>
      <c r="Y75" s="515"/>
      <c r="Z75" s="515"/>
      <c r="AA75" s="515"/>
      <c r="AB75" s="454"/>
      <c r="AC75" s="525"/>
      <c r="AD75" s="525"/>
      <c r="AE75" s="525"/>
      <c r="AF75" s="475"/>
      <c r="AG75" s="476"/>
      <c r="AH75" s="477"/>
      <c r="AI75" s="477"/>
      <c r="AJ75" s="477"/>
      <c r="AK75" s="477"/>
      <c r="AL75" s="477"/>
      <c r="AM75" s="477"/>
      <c r="AN75" s="477"/>
      <c r="AO75" s="477"/>
      <c r="AP75" s="477"/>
      <c r="AQ75" s="477"/>
      <c r="AR75" s="477"/>
      <c r="AS75" s="477"/>
      <c r="AT75" s="477"/>
      <c r="AU75" s="477"/>
      <c r="AV75" s="477"/>
      <c r="AW75" s="477"/>
      <c r="AX75" s="477"/>
      <c r="AY75" s="477"/>
      <c r="AZ75" s="477"/>
      <c r="BA75" s="477"/>
      <c r="BB75" s="477"/>
      <c r="BC75" s="477"/>
      <c r="BD75" s="477"/>
      <c r="BE75" s="477"/>
      <c r="BF75" s="477"/>
      <c r="BG75" s="477"/>
    </row>
    <row r="76" spans="1:59">
      <c r="A76" s="2337"/>
      <c r="B76" s="2273"/>
      <c r="C76" s="2274"/>
      <c r="D76" s="568" t="s">
        <v>942</v>
      </c>
      <c r="E76" s="639">
        <v>100</v>
      </c>
      <c r="F76" s="585" t="s">
        <v>35</v>
      </c>
      <c r="G76" s="585" t="s">
        <v>35</v>
      </c>
      <c r="H76" s="549">
        <v>786.71839999999997</v>
      </c>
      <c r="I76" s="550">
        <v>168.7491</v>
      </c>
      <c r="J76" s="571" t="s">
        <v>35</v>
      </c>
      <c r="K76" s="572" t="s">
        <v>35</v>
      </c>
      <c r="L76" s="571" t="s">
        <v>35</v>
      </c>
      <c r="M76" s="572" t="s">
        <v>35</v>
      </c>
      <c r="N76" s="575">
        <v>44.513835499999999</v>
      </c>
      <c r="O76" s="576">
        <v>2.39</v>
      </c>
      <c r="P76" s="576">
        <v>18.647265999999998</v>
      </c>
      <c r="Q76" s="486">
        <f>6054.54/$T$61</f>
        <v>6.7439016240058811E-2</v>
      </c>
      <c r="R76" s="2285"/>
      <c r="S76" s="604"/>
      <c r="T76" s="605"/>
      <c r="U76" s="606"/>
      <c r="V76" s="524"/>
      <c r="W76" s="525"/>
      <c r="X76" s="525"/>
      <c r="Y76" s="515"/>
      <c r="Z76" s="515"/>
      <c r="AA76" s="515"/>
      <c r="AB76" s="454"/>
      <c r="AC76" s="525"/>
      <c r="AD76" s="525"/>
      <c r="AE76" s="525"/>
      <c r="AF76" s="475"/>
      <c r="AG76" s="476"/>
      <c r="AH76" s="477"/>
      <c r="AI76" s="477"/>
      <c r="AJ76" s="477"/>
      <c r="AK76" s="477"/>
      <c r="AL76" s="477"/>
      <c r="AM76" s="477"/>
      <c r="AN76" s="477"/>
      <c r="AO76" s="477"/>
      <c r="AP76" s="477"/>
      <c r="AQ76" s="477"/>
      <c r="AR76" s="477"/>
      <c r="AS76" s="477"/>
      <c r="AT76" s="477"/>
      <c r="AU76" s="477"/>
      <c r="AV76" s="477"/>
      <c r="AW76" s="477"/>
      <c r="AX76" s="477"/>
      <c r="AY76" s="477"/>
      <c r="AZ76" s="477"/>
      <c r="BA76" s="477"/>
      <c r="BB76" s="477"/>
      <c r="BC76" s="477"/>
      <c r="BD76" s="477"/>
      <c r="BE76" s="477"/>
      <c r="BF76" s="477"/>
      <c r="BG76" s="477"/>
    </row>
    <row r="77" spans="1:59">
      <c r="A77" s="2337"/>
      <c r="B77" s="2273"/>
      <c r="C77" s="2274"/>
      <c r="D77" s="568" t="s">
        <v>943</v>
      </c>
      <c r="E77" s="639">
        <v>122</v>
      </c>
      <c r="F77" s="585" t="s">
        <v>35</v>
      </c>
      <c r="G77" s="585" t="s">
        <v>35</v>
      </c>
      <c r="H77" s="549">
        <v>713.35410000000002</v>
      </c>
      <c r="I77" s="550">
        <v>146.81209999999999</v>
      </c>
      <c r="J77" s="571" t="s">
        <v>35</v>
      </c>
      <c r="K77" s="572" t="s">
        <v>35</v>
      </c>
      <c r="L77" s="571" t="s">
        <v>35</v>
      </c>
      <c r="M77" s="572" t="s">
        <v>35</v>
      </c>
      <c r="N77" s="575">
        <v>17.719616500000001</v>
      </c>
      <c r="O77" s="576">
        <v>1.47</v>
      </c>
      <c r="P77" s="576">
        <v>12.084979000000001</v>
      </c>
      <c r="Q77" s="486">
        <f>31822.61/$T$61</f>
        <v>0.35445888747800131</v>
      </c>
      <c r="R77" s="2285"/>
      <c r="S77" s="604"/>
      <c r="T77" s="605"/>
      <c r="U77" s="606"/>
      <c r="V77" s="524"/>
      <c r="W77" s="525"/>
      <c r="X77" s="525"/>
      <c r="Y77" s="515"/>
      <c r="Z77" s="515"/>
      <c r="AA77" s="515"/>
      <c r="AB77" s="454"/>
      <c r="AC77" s="525"/>
      <c r="AD77" s="525"/>
      <c r="AE77" s="525"/>
      <c r="AF77" s="475"/>
      <c r="AG77" s="476"/>
      <c r="AH77" s="477"/>
      <c r="AI77" s="477"/>
      <c r="AJ77" s="477"/>
      <c r="AK77" s="477"/>
      <c r="AL77" s="477"/>
      <c r="AM77" s="477"/>
      <c r="AN77" s="477"/>
      <c r="AO77" s="477"/>
      <c r="AP77" s="477"/>
      <c r="AQ77" s="477"/>
      <c r="AR77" s="477"/>
      <c r="AS77" s="477"/>
      <c r="AT77" s="477"/>
      <c r="AU77" s="477"/>
      <c r="AV77" s="477"/>
      <c r="AW77" s="477"/>
      <c r="AX77" s="477"/>
      <c r="AY77" s="477"/>
      <c r="AZ77" s="477"/>
      <c r="BA77" s="477"/>
      <c r="BB77" s="477"/>
      <c r="BC77" s="477"/>
      <c r="BD77" s="477"/>
      <c r="BE77" s="477"/>
      <c r="BF77" s="477"/>
      <c r="BG77" s="477"/>
    </row>
    <row r="78" spans="1:59">
      <c r="A78" s="2337"/>
      <c r="B78" s="2273"/>
      <c r="C78" s="2274"/>
      <c r="D78" s="568" t="s">
        <v>944</v>
      </c>
      <c r="E78" s="639">
        <v>159</v>
      </c>
      <c r="F78" s="585" t="s">
        <v>35</v>
      </c>
      <c r="G78" s="585" t="s">
        <v>35</v>
      </c>
      <c r="H78" s="549">
        <v>743.92229999999995</v>
      </c>
      <c r="I78" s="550">
        <v>223.8546</v>
      </c>
      <c r="J78" s="571" t="s">
        <v>35</v>
      </c>
      <c r="K78" s="572" t="s">
        <v>35</v>
      </c>
      <c r="L78" s="571" t="s">
        <v>35</v>
      </c>
      <c r="M78" s="572" t="s">
        <v>35</v>
      </c>
      <c r="N78" s="575">
        <v>0</v>
      </c>
      <c r="O78" s="576" t="s">
        <v>926</v>
      </c>
      <c r="P78" s="576" t="s">
        <v>926</v>
      </c>
      <c r="Q78" s="486">
        <f>21817.39/$T$61</f>
        <v>0.24301488115128428</v>
      </c>
      <c r="R78" s="2285"/>
      <c r="S78" s="604"/>
      <c r="T78" s="605"/>
      <c r="U78" s="606"/>
      <c r="V78" s="524"/>
      <c r="W78" s="525"/>
      <c r="X78" s="525"/>
      <c r="Y78" s="515"/>
      <c r="Z78" s="515"/>
      <c r="AA78" s="515"/>
      <c r="AB78" s="454"/>
      <c r="AC78" s="525"/>
      <c r="AD78" s="525"/>
      <c r="AE78" s="525"/>
      <c r="AF78" s="475"/>
      <c r="AG78" s="476"/>
      <c r="AH78" s="477"/>
      <c r="AI78" s="477"/>
      <c r="AJ78" s="477"/>
      <c r="AK78" s="477"/>
      <c r="AL78" s="477"/>
      <c r="AM78" s="477"/>
      <c r="AN78" s="477"/>
      <c r="AO78" s="477"/>
      <c r="AP78" s="477"/>
      <c r="AQ78" s="477"/>
      <c r="AR78" s="477"/>
      <c r="AS78" s="477"/>
      <c r="AT78" s="477"/>
      <c r="AU78" s="477"/>
      <c r="AV78" s="477"/>
      <c r="AW78" s="477"/>
      <c r="AX78" s="477"/>
      <c r="AY78" s="477"/>
      <c r="AZ78" s="477"/>
      <c r="BA78" s="477"/>
      <c r="BB78" s="477"/>
      <c r="BC78" s="477"/>
      <c r="BD78" s="477"/>
      <c r="BE78" s="477"/>
      <c r="BF78" s="477"/>
      <c r="BG78" s="477"/>
    </row>
    <row r="79" spans="1:59">
      <c r="A79" s="2337"/>
      <c r="B79" s="2273" t="s">
        <v>966</v>
      </c>
      <c r="C79" s="2274" t="s">
        <v>862</v>
      </c>
      <c r="D79" s="568" t="s">
        <v>967</v>
      </c>
      <c r="E79" s="639">
        <v>162</v>
      </c>
      <c r="F79" s="585" t="s">
        <v>35</v>
      </c>
      <c r="G79" s="585" t="s">
        <v>35</v>
      </c>
      <c r="H79" s="549">
        <v>564.41319999999996</v>
      </c>
      <c r="I79" s="550">
        <v>70.114410000000007</v>
      </c>
      <c r="J79" s="571" t="s">
        <v>35</v>
      </c>
      <c r="K79" s="572" t="s">
        <v>35</v>
      </c>
      <c r="L79" s="571" t="s">
        <v>35</v>
      </c>
      <c r="M79" s="572" t="s">
        <v>35</v>
      </c>
      <c r="N79" s="575">
        <v>-8.3064958999999998</v>
      </c>
      <c r="O79" s="576">
        <v>-0.15</v>
      </c>
      <c r="P79" s="576">
        <v>54.826577</v>
      </c>
      <c r="Q79" s="486">
        <f>25721.92/$T$61</f>
        <v>0.28650582548062997</v>
      </c>
      <c r="R79" s="2285">
        <f>SUMPRODUCT(N79:N81,Q79:Q81)</f>
        <v>28.923545812402505</v>
      </c>
      <c r="S79" s="604"/>
      <c r="T79" s="605"/>
      <c r="U79" s="606"/>
      <c r="V79" s="524"/>
      <c r="W79" s="525"/>
      <c r="X79" s="525"/>
      <c r="Y79" s="515"/>
      <c r="Z79" s="515"/>
      <c r="AA79" s="515"/>
      <c r="AB79" s="454"/>
      <c r="AC79" s="525"/>
      <c r="AD79" s="525"/>
      <c r="AE79" s="525"/>
      <c r="AF79" s="475"/>
      <c r="AG79" s="476"/>
      <c r="AH79" s="477"/>
      <c r="AI79" s="477"/>
      <c r="AJ79" s="477"/>
      <c r="AK79" s="477"/>
      <c r="AL79" s="477"/>
      <c r="AM79" s="477"/>
      <c r="AN79" s="477"/>
      <c r="AO79" s="477"/>
      <c r="AP79" s="477"/>
      <c r="AQ79" s="477"/>
      <c r="AR79" s="477"/>
      <c r="AS79" s="477"/>
      <c r="AT79" s="477"/>
      <c r="AU79" s="477"/>
      <c r="AV79" s="477"/>
      <c r="AW79" s="477"/>
      <c r="AX79" s="477"/>
      <c r="AY79" s="477"/>
      <c r="AZ79" s="477"/>
      <c r="BA79" s="477"/>
      <c r="BB79" s="477"/>
      <c r="BC79" s="477"/>
      <c r="BD79" s="477"/>
      <c r="BE79" s="477"/>
      <c r="BF79" s="477"/>
      <c r="BG79" s="477"/>
    </row>
    <row r="80" spans="1:59">
      <c r="A80" s="2337"/>
      <c r="B80" s="2273"/>
      <c r="C80" s="2274"/>
      <c r="D80" s="568" t="s">
        <v>968</v>
      </c>
      <c r="E80" s="639">
        <v>573</v>
      </c>
      <c r="F80" s="585" t="s">
        <v>35</v>
      </c>
      <c r="G80" s="585" t="s">
        <v>35</v>
      </c>
      <c r="H80" s="549">
        <v>791.29520000000002</v>
      </c>
      <c r="I80" s="550">
        <v>186.7894</v>
      </c>
      <c r="J80" s="571" t="s">
        <v>35</v>
      </c>
      <c r="K80" s="572" t="s">
        <v>35</v>
      </c>
      <c r="L80" s="571" t="s">
        <v>35</v>
      </c>
      <c r="M80" s="572" t="s">
        <v>35</v>
      </c>
      <c r="N80" s="575">
        <v>44.253411</v>
      </c>
      <c r="O80" s="576">
        <v>0.82</v>
      </c>
      <c r="P80" s="576">
        <v>53.943123999999997</v>
      </c>
      <c r="Q80" s="486">
        <f>63506/$T$61</f>
        <v>0.70736706097262136</v>
      </c>
      <c r="R80" s="2285"/>
      <c r="S80" s="604"/>
      <c r="T80" s="605"/>
      <c r="U80" s="606"/>
      <c r="V80" s="524"/>
      <c r="W80" s="525"/>
      <c r="X80" s="525"/>
      <c r="Y80" s="515"/>
      <c r="Z80" s="515"/>
      <c r="AA80" s="515"/>
      <c r="AB80" s="454"/>
      <c r="AC80" s="525"/>
      <c r="AD80" s="525"/>
      <c r="AE80" s="525"/>
      <c r="AF80" s="475"/>
      <c r="AG80" s="476"/>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row>
    <row r="81" spans="1:113">
      <c r="A81" s="2337"/>
      <c r="B81" s="2273"/>
      <c r="C81" s="2274"/>
      <c r="D81" s="568" t="s">
        <v>969</v>
      </c>
      <c r="E81" s="639">
        <v>19</v>
      </c>
      <c r="F81" s="585" t="s">
        <v>35</v>
      </c>
      <c r="G81" s="585" t="s">
        <v>35</v>
      </c>
      <c r="H81" s="549">
        <v>741.80330000000004</v>
      </c>
      <c r="I81" s="550">
        <v>47.627899999999997</v>
      </c>
      <c r="J81" s="571" t="s">
        <v>35</v>
      </c>
      <c r="K81" s="572" t="s">
        <v>35</v>
      </c>
      <c r="L81" s="571" t="s">
        <v>35</v>
      </c>
      <c r="M81" s="572" t="s">
        <v>35</v>
      </c>
      <c r="N81" s="575">
        <v>0</v>
      </c>
      <c r="O81" s="576" t="s">
        <v>926</v>
      </c>
      <c r="P81" s="576" t="s">
        <v>926</v>
      </c>
      <c r="Q81" s="486">
        <f>550.080000000002/$T$61</f>
        <v>6.1271135467486689E-3</v>
      </c>
      <c r="R81" s="2285"/>
      <c r="S81" s="604"/>
      <c r="T81" s="605"/>
      <c r="U81" s="606"/>
      <c r="V81" s="524"/>
      <c r="W81" s="525"/>
      <c r="X81" s="525"/>
      <c r="Y81" s="515"/>
      <c r="Z81" s="515"/>
      <c r="AA81" s="515"/>
      <c r="AB81" s="454"/>
      <c r="AC81" s="525"/>
      <c r="AD81" s="525"/>
      <c r="AE81" s="525"/>
      <c r="AF81" s="475"/>
      <c r="AG81" s="476"/>
      <c r="AH81" s="477"/>
      <c r="AI81" s="477"/>
      <c r="AJ81" s="477"/>
      <c r="AK81" s="477"/>
      <c r="AL81" s="477"/>
      <c r="AM81" s="477"/>
      <c r="AN81" s="477"/>
      <c r="AO81" s="477"/>
      <c r="AP81" s="477"/>
      <c r="AQ81" s="477"/>
      <c r="AR81" s="477"/>
      <c r="AS81" s="477"/>
      <c r="AT81" s="477"/>
      <c r="AU81" s="477"/>
      <c r="AV81" s="477"/>
      <c r="AW81" s="477"/>
      <c r="AX81" s="477"/>
      <c r="AY81" s="477"/>
      <c r="AZ81" s="477"/>
      <c r="BA81" s="477"/>
      <c r="BB81" s="477"/>
      <c r="BC81" s="477"/>
      <c r="BD81" s="477"/>
      <c r="BE81" s="477"/>
      <c r="BF81" s="477"/>
      <c r="BG81" s="477"/>
    </row>
    <row r="82" spans="1:113">
      <c r="A82" s="2337"/>
      <c r="B82" s="2273" t="s">
        <v>891</v>
      </c>
      <c r="C82" s="2274" t="s">
        <v>862</v>
      </c>
      <c r="D82" s="568" t="s">
        <v>895</v>
      </c>
      <c r="E82" s="639">
        <v>3</v>
      </c>
      <c r="F82" s="585" t="s">
        <v>35</v>
      </c>
      <c r="G82" s="585" t="s">
        <v>35</v>
      </c>
      <c r="H82" s="549">
        <v>594.52919999999995</v>
      </c>
      <c r="I82" s="550">
        <v>131.31639999999999</v>
      </c>
      <c r="J82" s="571" t="s">
        <v>35</v>
      </c>
      <c r="K82" s="572" t="s">
        <v>35</v>
      </c>
      <c r="L82" s="571" t="s">
        <v>35</v>
      </c>
      <c r="M82" s="572" t="s">
        <v>35</v>
      </c>
      <c r="N82" s="575">
        <v>2.6549149000000001</v>
      </c>
      <c r="O82" s="576">
        <v>0</v>
      </c>
      <c r="P82" s="576">
        <v>1274.6462079999999</v>
      </c>
      <c r="Q82" s="486">
        <f>0.73315/$T$61</f>
        <v>8.1662545389739127E-6</v>
      </c>
      <c r="R82" s="2285">
        <f>SUMPRODUCT(N82:N90,Q82:Q90)</f>
        <v>98.599987415461428</v>
      </c>
      <c r="S82" s="604"/>
      <c r="T82" s="605"/>
      <c r="U82" s="606"/>
      <c r="V82" s="524"/>
      <c r="W82" s="525"/>
      <c r="X82" s="525"/>
      <c r="Y82" s="515"/>
      <c r="Z82" s="515"/>
      <c r="AA82" s="515"/>
      <c r="AB82" s="454"/>
      <c r="AC82" s="525"/>
      <c r="AD82" s="525"/>
      <c r="AE82" s="525"/>
      <c r="AF82" s="475"/>
      <c r="AG82" s="476"/>
      <c r="AH82" s="477"/>
      <c r="AI82" s="477"/>
      <c r="AJ82" s="477"/>
      <c r="AK82" s="477"/>
      <c r="AL82" s="477"/>
      <c r="AM82" s="477"/>
      <c r="AN82" s="477"/>
      <c r="AO82" s="477"/>
      <c r="AP82" s="477"/>
      <c r="AQ82" s="477"/>
      <c r="AR82" s="477"/>
      <c r="AS82" s="477"/>
      <c r="AT82" s="477"/>
      <c r="AU82" s="477"/>
      <c r="AV82" s="477"/>
      <c r="AW82" s="477"/>
      <c r="AX82" s="477"/>
      <c r="AY82" s="477"/>
      <c r="AZ82" s="477"/>
      <c r="BA82" s="477"/>
      <c r="BB82" s="477"/>
      <c r="BC82" s="477"/>
      <c r="BD82" s="477"/>
      <c r="BE82" s="477"/>
      <c r="BF82" s="477"/>
      <c r="BG82" s="477"/>
    </row>
    <row r="83" spans="1:113">
      <c r="A83" s="2337"/>
      <c r="B83" s="2273"/>
      <c r="C83" s="2274"/>
      <c r="D83" s="568" t="s">
        <v>898</v>
      </c>
      <c r="E83" s="639">
        <v>28</v>
      </c>
      <c r="F83" s="585" t="s">
        <v>35</v>
      </c>
      <c r="G83" s="585" t="s">
        <v>35</v>
      </c>
      <c r="H83" s="549">
        <v>774.64599999999996</v>
      </c>
      <c r="I83" s="550">
        <v>39.416130000000003</v>
      </c>
      <c r="J83" s="571" t="s">
        <v>35</v>
      </c>
      <c r="K83" s="572" t="s">
        <v>35</v>
      </c>
      <c r="L83" s="571" t="s">
        <v>35</v>
      </c>
      <c r="M83" s="572" t="s">
        <v>35</v>
      </c>
      <c r="N83" s="575">
        <v>104.3302374</v>
      </c>
      <c r="O83" s="576">
        <v>1.25</v>
      </c>
      <c r="P83" s="576">
        <v>83.784890000000004</v>
      </c>
      <c r="Q83" s="486">
        <f>1947.89/$T$61</f>
        <v>2.1696740849651362E-2</v>
      </c>
      <c r="R83" s="2285"/>
      <c r="S83" s="604"/>
      <c r="T83" s="605"/>
      <c r="U83" s="606"/>
      <c r="V83" s="524"/>
      <c r="W83" s="525"/>
      <c r="X83" s="525"/>
      <c r="Y83" s="515"/>
      <c r="Z83" s="515"/>
      <c r="AA83" s="515"/>
      <c r="AB83" s="454"/>
      <c r="AC83" s="525"/>
      <c r="AD83" s="525"/>
      <c r="AE83" s="525"/>
      <c r="AF83" s="475"/>
      <c r="AG83" s="476"/>
      <c r="AH83" s="477"/>
      <c r="AI83" s="477"/>
      <c r="AJ83" s="477"/>
      <c r="AK83" s="477"/>
      <c r="AL83" s="477"/>
      <c r="AM83" s="477"/>
      <c r="AN83" s="477"/>
      <c r="AO83" s="477"/>
      <c r="AP83" s="477"/>
      <c r="AQ83" s="477"/>
      <c r="AR83" s="477"/>
      <c r="AS83" s="477"/>
      <c r="AT83" s="477"/>
      <c r="AU83" s="477"/>
      <c r="AV83" s="477"/>
      <c r="AW83" s="477"/>
      <c r="AX83" s="477"/>
      <c r="AY83" s="477"/>
      <c r="AZ83" s="477"/>
      <c r="BA83" s="477"/>
      <c r="BB83" s="477"/>
      <c r="BC83" s="477"/>
      <c r="BD83" s="477"/>
      <c r="BE83" s="477"/>
      <c r="BF83" s="477"/>
      <c r="BG83" s="477"/>
    </row>
    <row r="84" spans="1:113">
      <c r="A84" s="2337"/>
      <c r="B84" s="2273"/>
      <c r="C84" s="2274"/>
      <c r="D84" s="568" t="s">
        <v>970</v>
      </c>
      <c r="E84" s="639">
        <v>53</v>
      </c>
      <c r="F84" s="585" t="s">
        <v>35</v>
      </c>
      <c r="G84" s="585" t="s">
        <v>35</v>
      </c>
      <c r="H84" s="549">
        <v>827.19029999999998</v>
      </c>
      <c r="I84" s="550">
        <v>198.26599999999999</v>
      </c>
      <c r="J84" s="571" t="s">
        <v>35</v>
      </c>
      <c r="K84" s="572" t="s">
        <v>35</v>
      </c>
      <c r="L84" s="571" t="s">
        <v>35</v>
      </c>
      <c r="M84" s="572" t="s">
        <v>35</v>
      </c>
      <c r="N84" s="575">
        <v>41.124212</v>
      </c>
      <c r="O84" s="576">
        <v>0.46</v>
      </c>
      <c r="P84" s="576">
        <v>89.205526000000006</v>
      </c>
      <c r="Q84" s="486">
        <f>1064.16/$T$61</f>
        <v>1.1853237987034686E-2</v>
      </c>
      <c r="R84" s="2285"/>
      <c r="S84" s="604"/>
      <c r="T84" s="605"/>
      <c r="U84" s="606"/>
      <c r="V84" s="524"/>
      <c r="W84" s="525"/>
      <c r="X84" s="525"/>
      <c r="Y84" s="515"/>
      <c r="Z84" s="515"/>
      <c r="AA84" s="515"/>
      <c r="AB84" s="454"/>
      <c r="AC84" s="525"/>
      <c r="AD84" s="525"/>
      <c r="AE84" s="525"/>
      <c r="AF84" s="475"/>
      <c r="AG84" s="476"/>
      <c r="AH84" s="477"/>
      <c r="AI84" s="477"/>
      <c r="AJ84" s="477"/>
      <c r="AK84" s="477"/>
      <c r="AL84" s="477"/>
      <c r="AM84" s="477"/>
      <c r="AN84" s="477"/>
      <c r="AO84" s="477"/>
      <c r="AP84" s="477"/>
      <c r="AQ84" s="477"/>
      <c r="AR84" s="477"/>
      <c r="AS84" s="477"/>
      <c r="AT84" s="477"/>
      <c r="AU84" s="477"/>
      <c r="AV84" s="477"/>
      <c r="AW84" s="477"/>
      <c r="AX84" s="477"/>
      <c r="AY84" s="477"/>
      <c r="AZ84" s="477"/>
      <c r="BA84" s="477"/>
      <c r="BB84" s="477"/>
      <c r="BC84" s="477"/>
      <c r="BD84" s="477"/>
      <c r="BE84" s="477"/>
      <c r="BF84" s="477"/>
      <c r="BG84" s="477"/>
    </row>
    <row r="85" spans="1:113">
      <c r="A85" s="2337"/>
      <c r="B85" s="2273"/>
      <c r="C85" s="2274"/>
      <c r="D85" s="568" t="s">
        <v>971</v>
      </c>
      <c r="E85" s="639">
        <v>7</v>
      </c>
      <c r="F85" s="585" t="s">
        <v>35</v>
      </c>
      <c r="G85" s="585" t="s">
        <v>35</v>
      </c>
      <c r="H85" s="549">
        <v>608.66970000000003</v>
      </c>
      <c r="I85" s="550">
        <v>105.00879999999999</v>
      </c>
      <c r="J85" s="571" t="s">
        <v>35</v>
      </c>
      <c r="K85" s="572" t="s">
        <v>35</v>
      </c>
      <c r="L85" s="571" t="s">
        <v>35</v>
      </c>
      <c r="M85" s="572" t="s">
        <v>35</v>
      </c>
      <c r="N85" s="575">
        <v>-62.501658300000003</v>
      </c>
      <c r="O85" s="576">
        <v>-0.19</v>
      </c>
      <c r="P85" s="576">
        <v>330.65563500000002</v>
      </c>
      <c r="Q85" s="486">
        <f>11.911643/$T$61</f>
        <v>1.3267886341865491E-4</v>
      </c>
      <c r="R85" s="2285"/>
      <c r="S85" s="604"/>
      <c r="T85" s="605"/>
      <c r="U85" s="606"/>
      <c r="V85" s="524"/>
      <c r="W85" s="525"/>
      <c r="X85" s="525"/>
      <c r="Y85" s="515"/>
      <c r="Z85" s="515"/>
      <c r="AA85" s="515"/>
      <c r="AB85" s="454"/>
      <c r="AC85" s="525"/>
      <c r="AD85" s="525"/>
      <c r="AE85" s="525"/>
      <c r="AF85" s="475"/>
      <c r="AG85" s="476"/>
      <c r="AH85" s="477"/>
      <c r="AI85" s="477"/>
      <c r="AJ85" s="477"/>
      <c r="AK85" s="477"/>
      <c r="AL85" s="477"/>
      <c r="AM85" s="477"/>
      <c r="AN85" s="477"/>
      <c r="AO85" s="477"/>
      <c r="AP85" s="477"/>
      <c r="AQ85" s="477"/>
      <c r="AR85" s="477"/>
      <c r="AS85" s="477"/>
      <c r="AT85" s="477"/>
      <c r="AU85" s="477"/>
      <c r="AV85" s="477"/>
      <c r="AW85" s="477"/>
      <c r="AX85" s="477"/>
      <c r="AY85" s="477"/>
      <c r="AZ85" s="477"/>
      <c r="BA85" s="477"/>
      <c r="BB85" s="477"/>
      <c r="BC85" s="477"/>
      <c r="BD85" s="477"/>
      <c r="BE85" s="477"/>
      <c r="BF85" s="477"/>
      <c r="BG85" s="477"/>
    </row>
    <row r="86" spans="1:113">
      <c r="A86" s="2337"/>
      <c r="B86" s="2273"/>
      <c r="C86" s="2274"/>
      <c r="D86" s="568" t="s">
        <v>945</v>
      </c>
      <c r="E86" s="639">
        <v>138</v>
      </c>
      <c r="F86" s="585" t="s">
        <v>35</v>
      </c>
      <c r="G86" s="585" t="s">
        <v>35</v>
      </c>
      <c r="H86" s="549">
        <v>815.27340000000004</v>
      </c>
      <c r="I86" s="550">
        <v>144.41030000000001</v>
      </c>
      <c r="J86" s="571" t="s">
        <v>35</v>
      </c>
      <c r="K86" s="572" t="s">
        <v>35</v>
      </c>
      <c r="L86" s="571" t="s">
        <v>35</v>
      </c>
      <c r="M86" s="572" t="s">
        <v>35</v>
      </c>
      <c r="N86" s="575">
        <v>93.277564600000005</v>
      </c>
      <c r="O86" s="576">
        <v>1.1599999999999999</v>
      </c>
      <c r="P86" s="576">
        <v>80.554682999999997</v>
      </c>
      <c r="Q86" s="486">
        <f>4195.15/$T$61</f>
        <v>4.672804027712802E-2</v>
      </c>
      <c r="R86" s="2285"/>
      <c r="S86" s="604"/>
      <c r="T86" s="605"/>
      <c r="U86" s="606"/>
      <c r="V86" s="524"/>
      <c r="W86" s="525"/>
      <c r="X86" s="525"/>
      <c r="Y86" s="515"/>
      <c r="Z86" s="515"/>
      <c r="AA86" s="515"/>
      <c r="AB86" s="454"/>
      <c r="AC86" s="525"/>
      <c r="AD86" s="525"/>
      <c r="AE86" s="525"/>
      <c r="AF86" s="475"/>
      <c r="AG86" s="476"/>
      <c r="AH86" s="477"/>
      <c r="AI86" s="477"/>
      <c r="AJ86" s="477"/>
      <c r="AK86" s="477"/>
      <c r="AL86" s="477"/>
      <c r="AM86" s="477"/>
      <c r="AN86" s="477"/>
      <c r="AO86" s="477"/>
      <c r="AP86" s="477"/>
      <c r="AQ86" s="477"/>
      <c r="AR86" s="477"/>
      <c r="AS86" s="477"/>
      <c r="AT86" s="477"/>
      <c r="AU86" s="477"/>
      <c r="AV86" s="477"/>
      <c r="AW86" s="477"/>
      <c r="AX86" s="477"/>
      <c r="AY86" s="477"/>
      <c r="AZ86" s="477"/>
      <c r="BA86" s="477"/>
      <c r="BB86" s="477"/>
      <c r="BC86" s="477"/>
      <c r="BD86" s="477"/>
      <c r="BE86" s="477"/>
      <c r="BF86" s="477"/>
      <c r="BG86" s="477"/>
    </row>
    <row r="87" spans="1:113">
      <c r="A87" s="2337"/>
      <c r="B87" s="2273"/>
      <c r="C87" s="2274"/>
      <c r="D87" s="568" t="s">
        <v>902</v>
      </c>
      <c r="E87" s="639">
        <v>4</v>
      </c>
      <c r="F87" s="585" t="s">
        <v>35</v>
      </c>
      <c r="G87" s="585" t="s">
        <v>35</v>
      </c>
      <c r="H87" s="549">
        <v>582.3143</v>
      </c>
      <c r="I87" s="550">
        <v>138.7422</v>
      </c>
      <c r="J87" s="571" t="s">
        <v>35</v>
      </c>
      <c r="K87" s="572" t="s">
        <v>35</v>
      </c>
      <c r="L87" s="571" t="s">
        <v>35</v>
      </c>
      <c r="M87" s="572" t="s">
        <v>35</v>
      </c>
      <c r="N87" s="575">
        <v>63.695496800000001</v>
      </c>
      <c r="O87" s="576">
        <v>0.04</v>
      </c>
      <c r="P87" s="576">
        <v>1513.554989</v>
      </c>
      <c r="Q87" s="486">
        <f>0.5191/$T$61</f>
        <v>5.7820401434649918E-6</v>
      </c>
      <c r="R87" s="2285"/>
      <c r="S87" s="604"/>
      <c r="T87" s="605"/>
      <c r="U87" s="606"/>
      <c r="V87" s="524"/>
      <c r="W87" s="525"/>
      <c r="X87" s="525"/>
      <c r="Y87" s="515"/>
      <c r="Z87" s="515"/>
      <c r="AA87" s="515"/>
      <c r="AB87" s="454"/>
      <c r="AC87" s="525"/>
      <c r="AD87" s="525"/>
      <c r="AE87" s="525"/>
      <c r="AF87" s="475"/>
      <c r="AG87" s="476"/>
      <c r="AH87" s="477"/>
      <c r="AI87" s="477"/>
      <c r="AJ87" s="477"/>
      <c r="AK87" s="477"/>
      <c r="AL87" s="477"/>
      <c r="AM87" s="477"/>
      <c r="AN87" s="477"/>
      <c r="AO87" s="477"/>
      <c r="AP87" s="477"/>
      <c r="AQ87" s="477"/>
      <c r="AR87" s="477"/>
      <c r="AS87" s="477"/>
      <c r="AT87" s="477"/>
      <c r="AU87" s="477"/>
      <c r="AV87" s="477"/>
      <c r="AW87" s="477"/>
      <c r="AX87" s="477"/>
      <c r="AY87" s="477"/>
      <c r="AZ87" s="477"/>
      <c r="BA87" s="477"/>
      <c r="BB87" s="477"/>
      <c r="BC87" s="477"/>
      <c r="BD87" s="477"/>
      <c r="BE87" s="477"/>
      <c r="BF87" s="477"/>
      <c r="BG87" s="477"/>
    </row>
    <row r="88" spans="1:113">
      <c r="A88" s="2337"/>
      <c r="B88" s="2273"/>
      <c r="C88" s="2274"/>
      <c r="D88" s="568" t="s">
        <v>904</v>
      </c>
      <c r="E88" s="639">
        <v>105</v>
      </c>
      <c r="F88" s="585" t="s">
        <v>35</v>
      </c>
      <c r="G88" s="585" t="s">
        <v>35</v>
      </c>
      <c r="H88" s="549">
        <v>1007.526</v>
      </c>
      <c r="I88" s="550">
        <v>153.8306</v>
      </c>
      <c r="J88" s="571" t="s">
        <v>35</v>
      </c>
      <c r="K88" s="572" t="s">
        <v>35</v>
      </c>
      <c r="L88" s="571" t="s">
        <v>35</v>
      </c>
      <c r="M88" s="572" t="s">
        <v>35</v>
      </c>
      <c r="N88" s="575">
        <v>223.31640709999999</v>
      </c>
      <c r="O88" s="576">
        <v>2.82</v>
      </c>
      <c r="P88" s="576">
        <v>79.250421000000003</v>
      </c>
      <c r="Q88" s="486">
        <f>8724.87/$T$61</f>
        <v>9.7182717369511465E-2</v>
      </c>
      <c r="R88" s="2285"/>
      <c r="S88" s="604"/>
      <c r="T88" s="605"/>
      <c r="U88" s="606"/>
      <c r="V88" s="524"/>
      <c r="W88" s="525"/>
      <c r="X88" s="525"/>
      <c r="Y88" s="515"/>
      <c r="Z88" s="515"/>
      <c r="AA88" s="515"/>
      <c r="AB88" s="454"/>
      <c r="AC88" s="525"/>
      <c r="AD88" s="525"/>
      <c r="AE88" s="525"/>
      <c r="AF88" s="475"/>
      <c r="AG88" s="476"/>
      <c r="AH88" s="477"/>
      <c r="AI88" s="477"/>
      <c r="AJ88" s="477"/>
      <c r="AK88" s="477"/>
      <c r="AL88" s="477"/>
      <c r="AM88" s="477"/>
      <c r="AN88" s="477"/>
      <c r="AO88" s="477"/>
      <c r="AP88" s="477"/>
      <c r="AQ88" s="477"/>
      <c r="AR88" s="477"/>
      <c r="AS88" s="477"/>
      <c r="AT88" s="477"/>
      <c r="AU88" s="477"/>
      <c r="AV88" s="477"/>
      <c r="AW88" s="477"/>
      <c r="AX88" s="477"/>
      <c r="AY88" s="477"/>
      <c r="AZ88" s="477"/>
      <c r="BA88" s="477"/>
      <c r="BB88" s="477"/>
      <c r="BC88" s="477"/>
      <c r="BD88" s="477"/>
      <c r="BE88" s="477"/>
      <c r="BF88" s="477"/>
      <c r="BG88" s="477"/>
    </row>
    <row r="89" spans="1:113">
      <c r="A89" s="2337"/>
      <c r="B89" s="2273"/>
      <c r="C89" s="2274"/>
      <c r="D89" s="568" t="s">
        <v>892</v>
      </c>
      <c r="E89" s="639">
        <v>378</v>
      </c>
      <c r="F89" s="585" t="s">
        <v>35</v>
      </c>
      <c r="G89" s="585" t="s">
        <v>35</v>
      </c>
      <c r="H89" s="549">
        <v>684.65009999999995</v>
      </c>
      <c r="I89" s="550">
        <v>167.83510000000001</v>
      </c>
      <c r="J89" s="571" t="s">
        <v>35</v>
      </c>
      <c r="K89" s="572" t="s">
        <v>35</v>
      </c>
      <c r="L89" s="571" t="s">
        <v>35</v>
      </c>
      <c r="M89" s="572" t="s">
        <v>35</v>
      </c>
      <c r="N89" s="575">
        <v>85.1488181</v>
      </c>
      <c r="O89" s="576">
        <v>1.08</v>
      </c>
      <c r="P89" s="576">
        <v>78.777922000000004</v>
      </c>
      <c r="Q89" s="486">
        <f>73590.13/$T$61</f>
        <v>0.81969001314353185</v>
      </c>
      <c r="R89" s="2285"/>
      <c r="S89" s="604"/>
      <c r="T89" s="605"/>
      <c r="U89" s="606"/>
      <c r="V89" s="524"/>
      <c r="W89" s="525"/>
      <c r="X89" s="525"/>
      <c r="Y89" s="515"/>
      <c r="Z89" s="515"/>
      <c r="AA89" s="515"/>
      <c r="AB89" s="454"/>
      <c r="AC89" s="525"/>
      <c r="AD89" s="525"/>
      <c r="AE89" s="525"/>
      <c r="AF89" s="475"/>
      <c r="AG89" s="476"/>
      <c r="AH89" s="477"/>
      <c r="AI89" s="477"/>
      <c r="AJ89" s="477"/>
      <c r="AK89" s="477"/>
      <c r="AL89" s="477"/>
      <c r="AM89" s="477"/>
      <c r="AN89" s="477"/>
      <c r="AO89" s="477"/>
      <c r="AP89" s="477"/>
      <c r="AQ89" s="477"/>
      <c r="AR89" s="477"/>
      <c r="AS89" s="477"/>
      <c r="AT89" s="477"/>
      <c r="AU89" s="477"/>
      <c r="AV89" s="477"/>
      <c r="AW89" s="477"/>
      <c r="AX89" s="477"/>
      <c r="AY89" s="477"/>
      <c r="AZ89" s="477"/>
      <c r="BA89" s="477"/>
      <c r="BB89" s="477"/>
      <c r="BC89" s="477"/>
      <c r="BD89" s="477"/>
      <c r="BE89" s="477"/>
      <c r="BF89" s="477"/>
      <c r="BG89" s="477"/>
    </row>
    <row r="90" spans="1:113">
      <c r="A90" s="2337"/>
      <c r="B90" s="2273"/>
      <c r="C90" s="2274"/>
      <c r="D90" s="568" t="s">
        <v>900</v>
      </c>
      <c r="E90" s="639">
        <v>38</v>
      </c>
      <c r="F90" s="585" t="s">
        <v>35</v>
      </c>
      <c r="G90" s="585" t="s">
        <v>35</v>
      </c>
      <c r="H90" s="549">
        <v>768.47979999999995</v>
      </c>
      <c r="I90" s="550">
        <v>171.7432</v>
      </c>
      <c r="J90" s="571" t="s">
        <v>35</v>
      </c>
      <c r="K90" s="572" t="s">
        <v>35</v>
      </c>
      <c r="L90" s="571" t="s">
        <v>35</v>
      </c>
      <c r="M90" s="572" t="s">
        <v>35</v>
      </c>
      <c r="N90" s="575">
        <v>0</v>
      </c>
      <c r="O90" s="576" t="s">
        <v>926</v>
      </c>
      <c r="P90" s="576" t="s">
        <v>926</v>
      </c>
      <c r="Q90" s="486">
        <f>243.430217/$T$61</f>
        <v>2.7114684778007975E-3</v>
      </c>
      <c r="R90" s="2285"/>
      <c r="S90" s="604"/>
      <c r="T90" s="605"/>
      <c r="U90" s="606"/>
      <c r="V90" s="524"/>
      <c r="W90" s="525"/>
      <c r="X90" s="525"/>
      <c r="Y90" s="515"/>
      <c r="Z90" s="515"/>
      <c r="AA90" s="515"/>
      <c r="AB90" s="454"/>
      <c r="AC90" s="525"/>
      <c r="AD90" s="525"/>
      <c r="AE90" s="525"/>
      <c r="AF90" s="475"/>
      <c r="AG90" s="476"/>
      <c r="AH90" s="477"/>
      <c r="AI90" s="477"/>
      <c r="AJ90" s="477"/>
      <c r="AK90" s="477"/>
      <c r="AL90" s="477"/>
      <c r="AM90" s="477"/>
      <c r="AN90" s="477"/>
      <c r="AO90" s="477"/>
      <c r="AP90" s="477"/>
      <c r="AQ90" s="477"/>
      <c r="AR90" s="477"/>
      <c r="AS90" s="477"/>
      <c r="AT90" s="477"/>
      <c r="AU90" s="477"/>
      <c r="AV90" s="477"/>
      <c r="AW90" s="477"/>
      <c r="AX90" s="477"/>
      <c r="AY90" s="477"/>
      <c r="AZ90" s="477"/>
      <c r="BA90" s="477"/>
      <c r="BB90" s="477"/>
      <c r="BC90" s="477"/>
      <c r="BD90" s="477"/>
      <c r="BE90" s="477"/>
      <c r="BF90" s="477"/>
      <c r="BG90" s="477"/>
    </row>
    <row r="91" spans="1:113">
      <c r="A91" s="2337"/>
      <c r="B91" s="2273" t="s">
        <v>972</v>
      </c>
      <c r="C91" s="2274" t="s">
        <v>862</v>
      </c>
      <c r="D91" s="568" t="s">
        <v>973</v>
      </c>
      <c r="E91" s="639">
        <v>383</v>
      </c>
      <c r="F91" s="585" t="s">
        <v>35</v>
      </c>
      <c r="G91" s="585" t="s">
        <v>35</v>
      </c>
      <c r="H91" s="549">
        <v>678.23260000000005</v>
      </c>
      <c r="I91" s="550">
        <v>162.12299999999999</v>
      </c>
      <c r="J91" s="571" t="s">
        <v>35</v>
      </c>
      <c r="K91" s="572" t="s">
        <v>35</v>
      </c>
      <c r="L91" s="571" t="s">
        <v>35</v>
      </c>
      <c r="M91" s="572" t="s">
        <v>35</v>
      </c>
      <c r="N91" s="575">
        <v>-61.091139900000002</v>
      </c>
      <c r="O91" s="576">
        <v>-1.56</v>
      </c>
      <c r="P91" s="576">
        <v>39.119056</v>
      </c>
      <c r="Q91" s="486">
        <f>66198.59/$T$61</f>
        <v>0.73735870703290329</v>
      </c>
      <c r="R91" s="2285">
        <f>SUMPRODUCT(N91:N94,Q91:Q94)</f>
        <v>-50.750938484739429</v>
      </c>
      <c r="S91" s="604"/>
      <c r="T91" s="605"/>
      <c r="U91" s="606"/>
      <c r="V91" s="524"/>
      <c r="W91" s="525"/>
      <c r="X91" s="525"/>
      <c r="Y91" s="515"/>
      <c r="Z91" s="515"/>
      <c r="AA91" s="515"/>
      <c r="AB91" s="454"/>
      <c r="AC91" s="525"/>
      <c r="AD91" s="525"/>
      <c r="AE91" s="525"/>
      <c r="AF91" s="475"/>
      <c r="AG91" s="476"/>
      <c r="AH91" s="477"/>
      <c r="AI91" s="477"/>
      <c r="AJ91" s="477"/>
      <c r="AK91" s="477"/>
      <c r="AL91" s="477"/>
      <c r="AM91" s="477"/>
      <c r="AN91" s="477"/>
      <c r="AO91" s="477"/>
      <c r="AP91" s="477"/>
      <c r="AQ91" s="477"/>
      <c r="AR91" s="477"/>
      <c r="AS91" s="477"/>
      <c r="AT91" s="477"/>
      <c r="AU91" s="477"/>
      <c r="AV91" s="477"/>
      <c r="AW91" s="477"/>
      <c r="AX91" s="477"/>
      <c r="AY91" s="477"/>
      <c r="AZ91" s="477"/>
      <c r="BA91" s="477"/>
      <c r="BB91" s="477"/>
      <c r="BC91" s="477"/>
      <c r="BD91" s="477"/>
      <c r="BE91" s="477"/>
      <c r="BF91" s="477"/>
      <c r="BG91" s="477"/>
    </row>
    <row r="92" spans="1:113">
      <c r="A92" s="2337"/>
      <c r="B92" s="2273"/>
      <c r="C92" s="2274"/>
      <c r="D92" s="568" t="s">
        <v>974</v>
      </c>
      <c r="E92" s="639">
        <v>283</v>
      </c>
      <c r="F92" s="585" t="s">
        <v>35</v>
      </c>
      <c r="G92" s="585" t="s">
        <v>35</v>
      </c>
      <c r="H92" s="549">
        <v>852.38610000000006</v>
      </c>
      <c r="I92" s="550">
        <v>196.1165</v>
      </c>
      <c r="J92" s="571" t="s">
        <v>35</v>
      </c>
      <c r="K92" s="572" t="s">
        <v>35</v>
      </c>
      <c r="L92" s="571" t="s">
        <v>35</v>
      </c>
      <c r="M92" s="572" t="s">
        <v>35</v>
      </c>
      <c r="N92" s="575">
        <v>-27.059714400000001</v>
      </c>
      <c r="O92" s="576">
        <v>-0.68</v>
      </c>
      <c r="P92" s="576">
        <v>39.609789999999997</v>
      </c>
      <c r="Q92" s="486">
        <f>21481.5/$T$61</f>
        <v>0.23927354140212526</v>
      </c>
      <c r="R92" s="2285"/>
      <c r="S92" s="604"/>
      <c r="T92" s="605"/>
      <c r="U92" s="606"/>
      <c r="V92" s="524"/>
      <c r="W92" s="525"/>
      <c r="X92" s="525"/>
      <c r="Y92" s="515"/>
      <c r="Z92" s="515"/>
      <c r="AA92" s="515"/>
      <c r="AB92" s="454"/>
      <c r="AC92" s="525"/>
      <c r="AD92" s="525"/>
      <c r="AE92" s="525"/>
      <c r="AF92" s="475"/>
      <c r="AG92" s="476"/>
      <c r="AH92" s="477"/>
      <c r="AI92" s="477"/>
      <c r="AJ92" s="477"/>
      <c r="AK92" s="477"/>
      <c r="AL92" s="477"/>
      <c r="AM92" s="477"/>
      <c r="AN92" s="477"/>
      <c r="AO92" s="477"/>
      <c r="AP92" s="477"/>
      <c r="AQ92" s="477"/>
      <c r="AR92" s="477"/>
      <c r="AS92" s="477"/>
      <c r="AT92" s="477"/>
      <c r="AU92" s="477"/>
      <c r="AV92" s="477"/>
      <c r="AW92" s="477"/>
      <c r="AX92" s="477"/>
      <c r="AY92" s="477"/>
      <c r="AZ92" s="477"/>
      <c r="BA92" s="477"/>
      <c r="BB92" s="477"/>
      <c r="BC92" s="477"/>
      <c r="BD92" s="477"/>
      <c r="BE92" s="477"/>
      <c r="BF92" s="477"/>
      <c r="BG92" s="477"/>
    </row>
    <row r="93" spans="1:113">
      <c r="A93" s="2337"/>
      <c r="B93" s="2273"/>
      <c r="C93" s="2274"/>
      <c r="D93" s="568" t="s">
        <v>975</v>
      </c>
      <c r="E93" s="639">
        <v>60</v>
      </c>
      <c r="F93" s="585" t="s">
        <v>35</v>
      </c>
      <c r="G93" s="585" t="s">
        <v>35</v>
      </c>
      <c r="H93" s="549">
        <v>872.86590000000001</v>
      </c>
      <c r="I93" s="550">
        <v>313.98390000000001</v>
      </c>
      <c r="J93" s="571" t="s">
        <v>35</v>
      </c>
      <c r="K93" s="572" t="s">
        <v>35</v>
      </c>
      <c r="L93" s="571" t="s">
        <v>35</v>
      </c>
      <c r="M93" s="572" t="s">
        <v>35</v>
      </c>
      <c r="N93" s="575">
        <v>59.074322799999997</v>
      </c>
      <c r="O93" s="576">
        <v>1.07</v>
      </c>
      <c r="P93" s="576">
        <v>55.455677000000001</v>
      </c>
      <c r="Q93" s="486">
        <f>1169.93/$T$61</f>
        <v>1.3031366258994408E-2</v>
      </c>
      <c r="R93" s="2285"/>
      <c r="S93" s="604"/>
      <c r="T93" s="605"/>
      <c r="U93" s="606"/>
      <c r="V93" s="524"/>
      <c r="W93" s="525"/>
      <c r="X93" s="525"/>
      <c r="Y93" s="515"/>
      <c r="Z93" s="515"/>
      <c r="AA93" s="515"/>
      <c r="AB93" s="454"/>
      <c r="AC93" s="525"/>
      <c r="AD93" s="525"/>
      <c r="AE93" s="525"/>
      <c r="AF93" s="475"/>
      <c r="AG93" s="476"/>
      <c r="AH93" s="477"/>
      <c r="AI93" s="477"/>
      <c r="AJ93" s="477"/>
      <c r="AK93" s="477"/>
      <c r="AL93" s="477"/>
      <c r="AM93" s="477"/>
      <c r="AN93" s="477"/>
      <c r="AO93" s="477"/>
      <c r="AP93" s="477"/>
      <c r="AQ93" s="477"/>
      <c r="AR93" s="477"/>
      <c r="AS93" s="477"/>
      <c r="AT93" s="477"/>
      <c r="AU93" s="477"/>
      <c r="AV93" s="477"/>
      <c r="AW93" s="477"/>
      <c r="AX93" s="477"/>
      <c r="AY93" s="477"/>
      <c r="AZ93" s="477"/>
      <c r="BA93" s="477"/>
      <c r="BB93" s="477"/>
      <c r="BC93" s="477"/>
      <c r="BD93" s="477"/>
      <c r="BE93" s="477"/>
      <c r="BF93" s="477"/>
      <c r="BG93" s="477"/>
    </row>
    <row r="94" spans="1:113" ht="15" thickBot="1">
      <c r="A94" s="2337"/>
      <c r="B94" s="2348"/>
      <c r="C94" s="2287"/>
      <c r="D94" s="644" t="s">
        <v>928</v>
      </c>
      <c r="E94" s="645">
        <v>28</v>
      </c>
      <c r="F94" s="646" t="s">
        <v>35</v>
      </c>
      <c r="G94" s="646" t="s">
        <v>35</v>
      </c>
      <c r="H94" s="647">
        <v>1021.462</v>
      </c>
      <c r="I94" s="648">
        <v>65.39</v>
      </c>
      <c r="J94" s="649" t="s">
        <v>35</v>
      </c>
      <c r="K94" s="650" t="s">
        <v>35</v>
      </c>
      <c r="L94" s="649" t="s">
        <v>35</v>
      </c>
      <c r="M94" s="650" t="s">
        <v>35</v>
      </c>
      <c r="N94" s="651">
        <v>0</v>
      </c>
      <c r="O94" s="652" t="s">
        <v>926</v>
      </c>
      <c r="P94" s="652" t="s">
        <v>926</v>
      </c>
      <c r="Q94" s="615">
        <f>927.98000000001/$T$61</f>
        <v>1.0336385305977077E-2</v>
      </c>
      <c r="R94" s="2289"/>
      <c r="S94" s="604"/>
      <c r="T94" s="605"/>
      <c r="U94" s="606"/>
      <c r="V94" s="524"/>
      <c r="W94" s="525"/>
      <c r="X94" s="525"/>
      <c r="Y94" s="515"/>
      <c r="Z94" s="515"/>
      <c r="AA94" s="515"/>
      <c r="AB94" s="454"/>
      <c r="AC94" s="525"/>
      <c r="AD94" s="525"/>
      <c r="AE94" s="525"/>
      <c r="AF94" s="475"/>
      <c r="AG94" s="476"/>
      <c r="AH94" s="477"/>
      <c r="AI94" s="477"/>
      <c r="AJ94" s="477"/>
      <c r="AK94" s="477"/>
      <c r="AL94" s="477"/>
      <c r="AM94" s="477"/>
      <c r="AN94" s="477"/>
      <c r="AO94" s="477"/>
      <c r="AP94" s="477"/>
      <c r="AQ94" s="477"/>
      <c r="AR94" s="477"/>
      <c r="AS94" s="477"/>
      <c r="AT94" s="477"/>
      <c r="AU94" s="477"/>
      <c r="AV94" s="477"/>
      <c r="AW94" s="477"/>
      <c r="AX94" s="477"/>
      <c r="AY94" s="477"/>
      <c r="AZ94" s="477"/>
      <c r="BA94" s="477"/>
      <c r="BB94" s="477"/>
      <c r="BC94" s="477"/>
      <c r="BD94" s="477"/>
      <c r="BE94" s="477"/>
      <c r="BF94" s="477"/>
      <c r="BG94" s="477"/>
    </row>
    <row r="95" spans="1:113" s="542" customFormat="1" ht="24.75" customHeight="1" thickBot="1">
      <c r="A95" s="442" t="s">
        <v>979</v>
      </c>
      <c r="B95" s="686"/>
      <c r="C95" s="444"/>
      <c r="D95" s="445"/>
      <c r="E95" s="445"/>
      <c r="F95" s="445"/>
      <c r="G95" s="445"/>
      <c r="H95" s="445"/>
      <c r="I95" s="445"/>
      <c r="J95" s="446"/>
      <c r="K95" s="445"/>
      <c r="L95" s="446"/>
      <c r="M95" s="447"/>
      <c r="N95" s="448"/>
      <c r="O95" s="449"/>
      <c r="P95" s="449"/>
      <c r="Q95" s="450"/>
      <c r="R95" s="450"/>
      <c r="S95" s="451"/>
      <c r="T95" s="451"/>
      <c r="U95" s="452"/>
      <c r="V95" s="453"/>
      <c r="W95" s="447"/>
      <c r="X95" s="447"/>
      <c r="Y95" s="625"/>
      <c r="Z95" s="451"/>
      <c r="AA95" s="451"/>
      <c r="AB95" s="454"/>
      <c r="AC95" s="447"/>
      <c r="AD95" s="447"/>
      <c r="AE95" s="447"/>
      <c r="AF95" s="455"/>
      <c r="AG95" s="447"/>
      <c r="AH95" s="456"/>
      <c r="AI95" s="456"/>
      <c r="AJ95" s="456"/>
      <c r="AK95" s="456"/>
      <c r="AL95" s="456"/>
      <c r="AM95" s="456"/>
      <c r="AN95" s="456"/>
      <c r="AO95" s="456"/>
      <c r="AP95" s="456"/>
      <c r="AQ95" s="456"/>
      <c r="AR95" s="456"/>
      <c r="AS95" s="456"/>
      <c r="AT95" s="456"/>
      <c r="AU95" s="456"/>
      <c r="AV95" s="456"/>
      <c r="AW95" s="456"/>
      <c r="AX95" s="456"/>
      <c r="AY95" s="456"/>
      <c r="AZ95" s="456"/>
      <c r="BA95" s="456"/>
      <c r="BB95" s="456"/>
      <c r="BC95" s="456"/>
      <c r="BD95" s="456"/>
      <c r="BE95" s="456"/>
      <c r="BF95" s="456"/>
      <c r="BG95" s="456"/>
      <c r="BH95" s="432"/>
      <c r="DI95" s="543"/>
    </row>
    <row r="96" spans="1:113" s="433" customFormat="1">
      <c r="A96" s="2399" t="s">
        <v>980</v>
      </c>
      <c r="B96" s="2350" t="s">
        <v>311</v>
      </c>
      <c r="C96" s="2299" t="s">
        <v>839</v>
      </c>
      <c r="D96" s="687" t="s">
        <v>840</v>
      </c>
      <c r="E96" s="688">
        <v>398</v>
      </c>
      <c r="F96" s="689" t="s">
        <v>35</v>
      </c>
      <c r="G96" s="689" t="s">
        <v>35</v>
      </c>
      <c r="H96" s="690">
        <v>220.53</v>
      </c>
      <c r="I96" s="691">
        <v>1272.79</v>
      </c>
      <c r="J96" s="2401" t="s">
        <v>35</v>
      </c>
      <c r="K96" s="2356" t="s">
        <v>35</v>
      </c>
      <c r="L96" s="2380" t="s">
        <v>839</v>
      </c>
      <c r="M96" s="687" t="s">
        <v>840</v>
      </c>
      <c r="N96" s="464">
        <v>-10.25</v>
      </c>
      <c r="O96" s="465">
        <v>-1.1000000000000001</v>
      </c>
      <c r="P96" s="692">
        <v>9.2899999999999991</v>
      </c>
      <c r="Q96" s="693" t="s">
        <v>35</v>
      </c>
      <c r="R96" s="467">
        <v>-10.25</v>
      </c>
      <c r="S96" s="678" t="s">
        <v>841</v>
      </c>
      <c r="T96" s="559" t="s">
        <v>842</v>
      </c>
      <c r="U96" s="560"/>
      <c r="V96" s="2363" t="s">
        <v>916</v>
      </c>
      <c r="W96" s="471" t="s">
        <v>175</v>
      </c>
      <c r="X96" s="694" t="s">
        <v>981</v>
      </c>
      <c r="Y96" s="695">
        <f>$R$97+($R$98*6000)+$R$99+$R$102+$R$106+($R$109*9.7)+$T$103</f>
        <v>147.06192100687099</v>
      </c>
      <c r="Z96" s="2391">
        <f>Y97-Y96</f>
        <v>17.29000000000002</v>
      </c>
      <c r="AA96" s="2391">
        <f>(10.7-9.7)*$P$109</f>
        <v>10.08</v>
      </c>
      <c r="AB96" s="473"/>
      <c r="AC96" s="474" t="s">
        <v>982</v>
      </c>
      <c r="AD96" s="2296" t="s">
        <v>846</v>
      </c>
      <c r="AE96" s="2375"/>
      <c r="AF96" s="475"/>
      <c r="AG96" s="476"/>
      <c r="AH96" s="477"/>
      <c r="AI96" s="477"/>
      <c r="AJ96" s="477"/>
      <c r="AK96" s="477"/>
      <c r="AL96" s="477"/>
      <c r="AM96" s="477"/>
      <c r="AN96" s="477"/>
      <c r="AO96" s="477"/>
      <c r="AP96" s="477"/>
      <c r="AQ96" s="477"/>
      <c r="AR96" s="477"/>
      <c r="AS96" s="477"/>
      <c r="AT96" s="477"/>
      <c r="AU96" s="477"/>
      <c r="AV96" s="477"/>
      <c r="AW96" s="477"/>
      <c r="AX96" s="477"/>
      <c r="AY96" s="477"/>
      <c r="AZ96" s="477"/>
      <c r="BA96" s="477"/>
      <c r="BB96" s="477"/>
      <c r="BC96" s="477"/>
      <c r="BD96" s="477"/>
      <c r="BE96" s="477"/>
      <c r="BF96" s="477"/>
      <c r="BG96" s="477"/>
      <c r="BH96" s="432"/>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DI96" s="435"/>
    </row>
    <row r="97" spans="1:123" s="433" customFormat="1">
      <c r="A97" s="2400"/>
      <c r="B97" s="2273"/>
      <c r="C97" s="2274"/>
      <c r="D97" s="696" t="s">
        <v>64</v>
      </c>
      <c r="E97" s="665">
        <v>240</v>
      </c>
      <c r="F97" s="697" t="s">
        <v>35</v>
      </c>
      <c r="G97" s="697" t="s">
        <v>35</v>
      </c>
      <c r="H97" s="698">
        <v>146.72</v>
      </c>
      <c r="I97" s="699">
        <v>1406.07</v>
      </c>
      <c r="J97" s="2395"/>
      <c r="K97" s="2394"/>
      <c r="L97" s="2361"/>
      <c r="M97" s="696" t="s">
        <v>64</v>
      </c>
      <c r="N97" s="482">
        <v>0</v>
      </c>
      <c r="O97" s="483" t="s">
        <v>847</v>
      </c>
      <c r="P97" s="484" t="s">
        <v>847</v>
      </c>
      <c r="Q97" s="530" t="s">
        <v>35</v>
      </c>
      <c r="R97" s="486">
        <v>0</v>
      </c>
      <c r="S97" s="487" t="s">
        <v>848</v>
      </c>
      <c r="T97" s="488" t="s">
        <v>849</v>
      </c>
      <c r="U97" s="452"/>
      <c r="V97" s="2363"/>
      <c r="W97" s="487" t="s">
        <v>174</v>
      </c>
      <c r="X97" s="40" t="s">
        <v>983</v>
      </c>
      <c r="Y97" s="695">
        <f>$R$96+($R$98*6000)+$R$99+$R$102+$R$106+($R$109*10.7)+$T$103</f>
        <v>164.35192100687101</v>
      </c>
      <c r="Z97" s="2398"/>
      <c r="AA97" s="2398"/>
      <c r="AB97" s="473"/>
      <c r="AC97" s="474" t="s">
        <v>984</v>
      </c>
      <c r="AD97" s="490" t="s">
        <v>795</v>
      </c>
      <c r="AE97" s="491">
        <v>4.1111756876234758E-2</v>
      </c>
      <c r="AF97" s="475"/>
      <c r="AG97" s="476"/>
      <c r="AH97" s="477"/>
      <c r="AI97" s="477"/>
      <c r="AJ97" s="477"/>
      <c r="AK97" s="477"/>
      <c r="AL97" s="477"/>
      <c r="AM97" s="477"/>
      <c r="AN97" s="477"/>
      <c r="AO97" s="477"/>
      <c r="AP97" s="477"/>
      <c r="AQ97" s="477"/>
      <c r="AR97" s="477"/>
      <c r="AS97" s="477"/>
      <c r="AT97" s="477"/>
      <c r="AU97" s="477"/>
      <c r="AV97" s="477"/>
      <c r="AW97" s="477"/>
      <c r="AX97" s="477"/>
      <c r="AY97" s="477"/>
      <c r="AZ97" s="477"/>
      <c r="BA97" s="477"/>
      <c r="BB97" s="477"/>
      <c r="BC97" s="477"/>
      <c r="BD97" s="477"/>
      <c r="BE97" s="477"/>
      <c r="BF97" s="477"/>
      <c r="BG97" s="477"/>
      <c r="BH97" s="432"/>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DI97" s="435"/>
    </row>
    <row r="98" spans="1:123" s="433" customFormat="1">
      <c r="A98" s="2400"/>
      <c r="B98" s="492" t="s">
        <v>985</v>
      </c>
      <c r="C98" s="493" t="s">
        <v>853</v>
      </c>
      <c r="D98" s="478" t="s">
        <v>986</v>
      </c>
      <c r="E98" s="178">
        <v>638</v>
      </c>
      <c r="F98" s="178">
        <v>11086</v>
      </c>
      <c r="G98" s="494">
        <v>5382</v>
      </c>
      <c r="H98" s="698">
        <v>183.34</v>
      </c>
      <c r="I98" s="699">
        <v>1447.97</v>
      </c>
      <c r="J98" s="523" t="s">
        <v>35</v>
      </c>
      <c r="K98" s="479" t="s">
        <v>35</v>
      </c>
      <c r="L98" s="495" t="s">
        <v>853</v>
      </c>
      <c r="M98" s="700" t="s">
        <v>987</v>
      </c>
      <c r="N98" s="482">
        <v>2.3E-2</v>
      </c>
      <c r="O98" s="497">
        <v>32.22</v>
      </c>
      <c r="P98" s="701">
        <v>6.9999999999999999E-4</v>
      </c>
      <c r="Q98" s="530" t="s">
        <v>35</v>
      </c>
      <c r="R98" s="486">
        <v>2.3E-2</v>
      </c>
      <c r="S98" s="667" t="s">
        <v>858</v>
      </c>
      <c r="T98" s="499" t="s">
        <v>859</v>
      </c>
      <c r="U98" s="470"/>
      <c r="V98" s="2363"/>
      <c r="W98" s="487" t="s">
        <v>175</v>
      </c>
      <c r="X98" s="40" t="s">
        <v>988</v>
      </c>
      <c r="Y98" s="695">
        <f>$R$97+($R$98*6000)+$R$99+$R$102+$R$106+($R$109*9)+$T$103</f>
        <v>127.78392100687097</v>
      </c>
      <c r="Z98" s="2391">
        <f>Y99-Y98</f>
        <v>14.536000000000058</v>
      </c>
      <c r="AA98" s="2398">
        <f>(9.9-9)*$P$109</f>
        <v>9.0720000000000045</v>
      </c>
      <c r="AB98" s="473"/>
      <c r="AC98" s="476"/>
      <c r="AD98" s="490" t="s">
        <v>861</v>
      </c>
      <c r="AE98" s="491">
        <v>1.0710804313157546E-2</v>
      </c>
      <c r="AF98" s="475"/>
      <c r="AG98" s="476"/>
      <c r="AH98" s="477"/>
      <c r="AI98" s="477"/>
      <c r="AJ98" s="477"/>
      <c r="AK98" s="477"/>
      <c r="AL98" s="477"/>
      <c r="AM98" s="477"/>
      <c r="AN98" s="477"/>
      <c r="AO98" s="477"/>
      <c r="AP98" s="477"/>
      <c r="AQ98" s="477"/>
      <c r="AR98" s="477"/>
      <c r="AS98" s="477"/>
      <c r="AT98" s="477"/>
      <c r="AU98" s="477"/>
      <c r="AV98" s="477"/>
      <c r="AW98" s="477"/>
      <c r="AX98" s="477"/>
      <c r="AY98" s="477"/>
      <c r="AZ98" s="477"/>
      <c r="BA98" s="477"/>
      <c r="BB98" s="477"/>
      <c r="BC98" s="477"/>
      <c r="BD98" s="477"/>
      <c r="BE98" s="477"/>
      <c r="BF98" s="477"/>
      <c r="BG98" s="477"/>
      <c r="BH98" s="432"/>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DI98" s="435"/>
    </row>
    <row r="99" spans="1:123" s="433" customFormat="1">
      <c r="A99" s="2400"/>
      <c r="B99" s="2273" t="s">
        <v>989</v>
      </c>
      <c r="C99" s="2274" t="s">
        <v>862</v>
      </c>
      <c r="D99" s="696" t="s">
        <v>928</v>
      </c>
      <c r="E99" s="665">
        <v>143</v>
      </c>
      <c r="F99" s="697" t="s">
        <v>35</v>
      </c>
      <c r="G99" s="697" t="s">
        <v>35</v>
      </c>
      <c r="H99" s="698">
        <v>276.14999999999998</v>
      </c>
      <c r="I99" s="699">
        <v>655.59</v>
      </c>
      <c r="J99" s="2395" t="s">
        <v>35</v>
      </c>
      <c r="K99" s="479" t="s">
        <v>35</v>
      </c>
      <c r="L99" s="2395" t="s">
        <v>35</v>
      </c>
      <c r="M99" s="479" t="s">
        <v>35</v>
      </c>
      <c r="N99" s="482">
        <v>0</v>
      </c>
      <c r="O99" s="483" t="s">
        <v>847</v>
      </c>
      <c r="P99" s="484" t="s">
        <v>847</v>
      </c>
      <c r="Q99" s="486">
        <f>6924.49/T101</f>
        <v>4.2896375909206863E-2</v>
      </c>
      <c r="R99" s="2285">
        <f>SUMPRODUCT(N99:N101,Q99:Q101)</f>
        <v>1.3877676548778539</v>
      </c>
      <c r="S99" s="487" t="s">
        <v>864</v>
      </c>
      <c r="T99" s="503">
        <v>0.63600000000000001</v>
      </c>
      <c r="U99" s="504"/>
      <c r="V99" s="2363"/>
      <c r="W99" s="487" t="s">
        <v>174</v>
      </c>
      <c r="X99" s="40" t="s">
        <v>990</v>
      </c>
      <c r="Y99" s="695">
        <f>$R$96+($R$98*6000)+$R$99+$R$102+$R$106+($R$109*9.9)+$T$103</f>
        <v>142.31992100687103</v>
      </c>
      <c r="Z99" s="2398"/>
      <c r="AA99" s="2398"/>
      <c r="AB99" s="473"/>
      <c r="AC99" s="476"/>
      <c r="AD99" s="490" t="s">
        <v>866</v>
      </c>
      <c r="AE99" s="491">
        <v>2.0337980553284389E-2</v>
      </c>
      <c r="AF99" s="475"/>
      <c r="AG99" s="476"/>
      <c r="AH99" s="477"/>
      <c r="AI99" s="477"/>
      <c r="AJ99" s="477"/>
      <c r="AK99" s="477"/>
      <c r="AL99" s="477"/>
      <c r="AM99" s="477"/>
      <c r="AN99" s="477"/>
      <c r="AO99" s="477"/>
      <c r="AP99" s="477"/>
      <c r="AQ99" s="477"/>
      <c r="AR99" s="477"/>
      <c r="AS99" s="477"/>
      <c r="AT99" s="477"/>
      <c r="AU99" s="477"/>
      <c r="AV99" s="477"/>
      <c r="AW99" s="477"/>
      <c r="AX99" s="477"/>
      <c r="AY99" s="477"/>
      <c r="AZ99" s="477"/>
      <c r="BA99" s="477"/>
      <c r="BB99" s="477"/>
      <c r="BC99" s="477"/>
      <c r="BD99" s="477"/>
      <c r="BE99" s="477"/>
      <c r="BF99" s="477"/>
      <c r="BG99" s="477"/>
      <c r="BH99" s="432"/>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DI99" s="435"/>
    </row>
    <row r="100" spans="1:123" s="433" customFormat="1">
      <c r="A100" s="2400"/>
      <c r="B100" s="2273"/>
      <c r="C100" s="2274"/>
      <c r="D100" s="696" t="s">
        <v>991</v>
      </c>
      <c r="E100" s="665">
        <v>333</v>
      </c>
      <c r="F100" s="697" t="s">
        <v>35</v>
      </c>
      <c r="G100" s="697" t="s">
        <v>35</v>
      </c>
      <c r="H100" s="698">
        <v>174.4</v>
      </c>
      <c r="I100" s="699">
        <v>1704.49</v>
      </c>
      <c r="J100" s="2395"/>
      <c r="K100" s="479" t="s">
        <v>35</v>
      </c>
      <c r="L100" s="2395"/>
      <c r="M100" s="479" t="s">
        <v>35</v>
      </c>
      <c r="N100" s="482">
        <v>0.81200000000000006</v>
      </c>
      <c r="O100" s="497">
        <v>0.11</v>
      </c>
      <c r="P100" s="497">
        <v>7.59</v>
      </c>
      <c r="Q100" s="486">
        <f>149975.34/T101</f>
        <v>0.92907904578548151</v>
      </c>
      <c r="R100" s="2285"/>
      <c r="S100" s="667" t="s">
        <v>868</v>
      </c>
      <c r="T100" s="637" t="s">
        <v>869</v>
      </c>
      <c r="U100" s="560"/>
      <c r="V100" s="2363"/>
      <c r="W100" s="487" t="s">
        <v>175</v>
      </c>
      <c r="X100" s="40" t="s">
        <v>992</v>
      </c>
      <c r="Y100" s="695">
        <f>$R$97+($R$98*8000)+$R$99+$R$102+$R$106+($R$109*9.8)+$T$103</f>
        <v>195.81592100687101</v>
      </c>
      <c r="Z100" s="2391">
        <f>Y101-Y100</f>
        <v>17.29000000000002</v>
      </c>
      <c r="AA100" s="2398">
        <f>(10.8-9.8)*$P$109</f>
        <v>10.08</v>
      </c>
      <c r="AB100" s="473"/>
      <c r="AC100" s="476"/>
      <c r="AD100" s="490" t="s">
        <v>871</v>
      </c>
      <c r="AE100" s="491">
        <v>2.0337980553284389E-2</v>
      </c>
      <c r="AF100" s="475"/>
      <c r="AG100" s="476"/>
      <c r="AH100" s="477"/>
      <c r="AI100" s="477"/>
      <c r="AJ100" s="477"/>
      <c r="AK100" s="477"/>
      <c r="AL100" s="477"/>
      <c r="AM100" s="477"/>
      <c r="AN100" s="477"/>
      <c r="AO100" s="477"/>
      <c r="AP100" s="477"/>
      <c r="AQ100" s="477"/>
      <c r="AR100" s="477"/>
      <c r="AS100" s="477"/>
      <c r="AT100" s="477"/>
      <c r="AU100" s="477"/>
      <c r="AV100" s="477"/>
      <c r="AW100" s="477"/>
      <c r="AX100" s="477"/>
      <c r="AY100" s="477"/>
      <c r="AZ100" s="477"/>
      <c r="BA100" s="477"/>
      <c r="BB100" s="477"/>
      <c r="BC100" s="477"/>
      <c r="BD100" s="477"/>
      <c r="BE100" s="477"/>
      <c r="BF100" s="477"/>
      <c r="BG100" s="477"/>
      <c r="BH100" s="432"/>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DI100" s="435"/>
    </row>
    <row r="101" spans="1:123" s="433" customFormat="1">
      <c r="A101" s="2400"/>
      <c r="B101" s="2273"/>
      <c r="C101" s="2274"/>
      <c r="D101" s="696" t="s">
        <v>993</v>
      </c>
      <c r="E101" s="665">
        <v>162</v>
      </c>
      <c r="F101" s="697" t="s">
        <v>35</v>
      </c>
      <c r="G101" s="697" t="s">
        <v>35</v>
      </c>
      <c r="H101" s="698">
        <v>337.92</v>
      </c>
      <c r="I101" s="699">
        <v>899.3</v>
      </c>
      <c r="J101" s="2395"/>
      <c r="K101" s="479" t="s">
        <v>35</v>
      </c>
      <c r="L101" s="2395"/>
      <c r="M101" s="479" t="s">
        <v>35</v>
      </c>
      <c r="N101" s="482">
        <v>22.6</v>
      </c>
      <c r="O101" s="497">
        <v>2.1</v>
      </c>
      <c r="P101" s="497">
        <v>10.77</v>
      </c>
      <c r="Q101" s="486">
        <f>4523.83/T101</f>
        <v>2.8024578305311625E-2</v>
      </c>
      <c r="R101" s="2285"/>
      <c r="S101" s="487">
        <v>638</v>
      </c>
      <c r="T101" s="702">
        <v>161423.66</v>
      </c>
      <c r="U101" s="703"/>
      <c r="V101" s="2363"/>
      <c r="W101" s="487" t="s">
        <v>174</v>
      </c>
      <c r="X101" s="40" t="s">
        <v>994</v>
      </c>
      <c r="Y101" s="695">
        <f>$R$96+($R$98*8000)+$R$99+$R$102+$R$106+($R$109*10.8)+$T$103</f>
        <v>213.10592100687103</v>
      </c>
      <c r="Z101" s="2398"/>
      <c r="AA101" s="2398"/>
      <c r="AB101" s="473"/>
      <c r="AC101" s="476"/>
      <c r="AD101" s="490" t="s">
        <v>874</v>
      </c>
      <c r="AE101" s="491">
        <v>0.21394814858948172</v>
      </c>
      <c r="AF101" s="475"/>
      <c r="AG101" s="476"/>
      <c r="AH101" s="477"/>
      <c r="AI101" s="477"/>
      <c r="AJ101" s="477"/>
      <c r="AK101" s="477"/>
      <c r="AL101" s="477"/>
      <c r="AM101" s="477"/>
      <c r="AN101" s="477"/>
      <c r="AO101" s="477"/>
      <c r="AP101" s="477"/>
      <c r="AQ101" s="477"/>
      <c r="AR101" s="477"/>
      <c r="AS101" s="477"/>
      <c r="AT101" s="477"/>
      <c r="AU101" s="477"/>
      <c r="AV101" s="477"/>
      <c r="AW101" s="477"/>
      <c r="AX101" s="477"/>
      <c r="AY101" s="477"/>
      <c r="AZ101" s="477"/>
      <c r="BA101" s="477"/>
      <c r="BB101" s="477"/>
      <c r="BC101" s="477"/>
      <c r="BD101" s="477"/>
      <c r="BE101" s="477"/>
      <c r="BF101" s="477"/>
      <c r="BG101" s="477"/>
      <c r="BH101" s="432"/>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DI101" s="435"/>
    </row>
    <row r="102" spans="1:123" s="433" customFormat="1">
      <c r="A102" s="2400"/>
      <c r="B102" s="2273" t="s">
        <v>880</v>
      </c>
      <c r="C102" s="2274" t="s">
        <v>862</v>
      </c>
      <c r="D102" s="704">
        <v>1</v>
      </c>
      <c r="E102" s="665">
        <v>111</v>
      </c>
      <c r="F102" s="697" t="s">
        <v>35</v>
      </c>
      <c r="G102" s="697" t="s">
        <v>35</v>
      </c>
      <c r="H102" s="698">
        <v>204.4</v>
      </c>
      <c r="I102" s="699">
        <v>621.17999999999995</v>
      </c>
      <c r="J102" s="2395" t="s">
        <v>35</v>
      </c>
      <c r="K102" s="479" t="s">
        <v>35</v>
      </c>
      <c r="L102" s="2395" t="s">
        <v>35</v>
      </c>
      <c r="M102" s="479" t="s">
        <v>35</v>
      </c>
      <c r="N102" s="482">
        <v>0</v>
      </c>
      <c r="O102" s="483" t="s">
        <v>847</v>
      </c>
      <c r="P102" s="484" t="s">
        <v>847</v>
      </c>
      <c r="Q102" s="486">
        <f>3443.38/T101</f>
        <v>2.1331321567111042E-2</v>
      </c>
      <c r="R102" s="2285">
        <f>SUMPRODUCT(N102:N105,Q102:Q105)</f>
        <v>-6.279273020448179</v>
      </c>
      <c r="S102" s="667" t="s">
        <v>876</v>
      </c>
      <c r="T102" s="637" t="s">
        <v>877</v>
      </c>
      <c r="U102" s="560"/>
      <c r="V102" s="2363"/>
      <c r="W102" s="487" t="s">
        <v>175</v>
      </c>
      <c r="X102" s="40" t="s">
        <v>995</v>
      </c>
      <c r="Y102" s="695">
        <f>$R$97+($R$98*14000)+$R$99+$R$102+$R$106+($R$109*9.7)+$T$103</f>
        <v>331.06192100687099</v>
      </c>
      <c r="Z102" s="2391">
        <f>Y103-Y102</f>
        <v>17.290000000000077</v>
      </c>
      <c r="AA102" s="2398">
        <f>(10.7-9.7)*$P$109</f>
        <v>10.08</v>
      </c>
      <c r="AB102" s="473"/>
      <c r="AC102" s="476"/>
      <c r="AD102" s="490" t="s">
        <v>879</v>
      </c>
      <c r="AE102" s="491">
        <v>4.5773810284866948E-2</v>
      </c>
      <c r="AF102" s="475"/>
      <c r="AG102" s="476"/>
      <c r="AH102" s="477"/>
      <c r="AI102" s="477"/>
      <c r="AJ102" s="477"/>
      <c r="AK102" s="477"/>
      <c r="AL102" s="477"/>
      <c r="AM102" s="477"/>
      <c r="AN102" s="477"/>
      <c r="AO102" s="477"/>
      <c r="AP102" s="477"/>
      <c r="AQ102" s="477"/>
      <c r="AR102" s="477"/>
      <c r="AS102" s="477"/>
      <c r="AT102" s="477"/>
      <c r="AU102" s="477"/>
      <c r="AV102" s="477"/>
      <c r="AW102" s="477"/>
      <c r="AX102" s="477"/>
      <c r="AY102" s="477"/>
      <c r="AZ102" s="477"/>
      <c r="BA102" s="477"/>
      <c r="BB102" s="477"/>
      <c r="BC102" s="477"/>
      <c r="BD102" s="477"/>
      <c r="BE102" s="477"/>
      <c r="BF102" s="477"/>
      <c r="BG102" s="477"/>
      <c r="BH102" s="432"/>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DI102" s="435"/>
    </row>
    <row r="103" spans="1:123" s="433" customFormat="1">
      <c r="A103" s="2400"/>
      <c r="B103" s="2273"/>
      <c r="C103" s="2274"/>
      <c r="D103" s="704">
        <v>2</v>
      </c>
      <c r="E103" s="665">
        <v>194</v>
      </c>
      <c r="F103" s="697" t="s">
        <v>35</v>
      </c>
      <c r="G103" s="697" t="s">
        <v>35</v>
      </c>
      <c r="H103" s="698">
        <v>179.15</v>
      </c>
      <c r="I103" s="699">
        <v>1931.5</v>
      </c>
      <c r="J103" s="2395"/>
      <c r="K103" s="479" t="s">
        <v>35</v>
      </c>
      <c r="L103" s="2395"/>
      <c r="M103" s="479" t="s">
        <v>35</v>
      </c>
      <c r="N103" s="482">
        <v>-3.04</v>
      </c>
      <c r="O103" s="497">
        <v>-0.34</v>
      </c>
      <c r="P103" s="497">
        <v>9.0299999999999994</v>
      </c>
      <c r="Q103" s="486">
        <f>89044.11/T101</f>
        <v>0.55161746425523994</v>
      </c>
      <c r="R103" s="2285"/>
      <c r="S103" s="509">
        <v>0.88</v>
      </c>
      <c r="T103" s="705">
        <v>-269.39999999999998</v>
      </c>
      <c r="U103" s="706"/>
      <c r="V103" s="2363"/>
      <c r="W103" s="487" t="s">
        <v>174</v>
      </c>
      <c r="X103" s="40" t="s">
        <v>996</v>
      </c>
      <c r="Y103" s="695">
        <f>$R$96+($R$98*14000)+$R$99+$R$102+$R$106+($R$109*10.7)+$T$103</f>
        <v>348.35192100687107</v>
      </c>
      <c r="Z103" s="2398"/>
      <c r="AA103" s="2398"/>
      <c r="AB103" s="473"/>
      <c r="AC103" s="476"/>
      <c r="AD103" s="490" t="s">
        <v>882</v>
      </c>
      <c r="AE103" s="491">
        <v>63.148349874677166</v>
      </c>
      <c r="AF103" s="475"/>
      <c r="AG103" s="476"/>
      <c r="AH103" s="477"/>
      <c r="AI103" s="477"/>
      <c r="AJ103" s="477"/>
      <c r="AK103" s="477"/>
      <c r="AL103" s="477"/>
      <c r="AM103" s="477"/>
      <c r="AN103" s="477"/>
      <c r="AO103" s="477"/>
      <c r="AP103" s="477"/>
      <c r="AQ103" s="477"/>
      <c r="AR103" s="477"/>
      <c r="AS103" s="477"/>
      <c r="AT103" s="477"/>
      <c r="AU103" s="477"/>
      <c r="AV103" s="477"/>
      <c r="AW103" s="477"/>
      <c r="AX103" s="477"/>
      <c r="AY103" s="477"/>
      <c r="AZ103" s="477"/>
      <c r="BA103" s="477"/>
      <c r="BB103" s="477"/>
      <c r="BC103" s="477"/>
      <c r="BD103" s="477"/>
      <c r="BE103" s="477"/>
      <c r="BF103" s="477"/>
      <c r="BG103" s="477"/>
      <c r="BH103" s="432"/>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DI103" s="435"/>
    </row>
    <row r="104" spans="1:123" s="433" customFormat="1">
      <c r="A104" s="2400"/>
      <c r="B104" s="2273"/>
      <c r="C104" s="2274"/>
      <c r="D104" s="704">
        <v>3</v>
      </c>
      <c r="E104" s="665">
        <v>203</v>
      </c>
      <c r="F104" s="697" t="s">
        <v>35</v>
      </c>
      <c r="G104" s="697" t="s">
        <v>35</v>
      </c>
      <c r="H104" s="698">
        <v>186.74</v>
      </c>
      <c r="I104" s="699">
        <v>1649.07</v>
      </c>
      <c r="J104" s="2395"/>
      <c r="K104" s="479" t="s">
        <v>35</v>
      </c>
      <c r="L104" s="2395"/>
      <c r="M104" s="479" t="s">
        <v>35</v>
      </c>
      <c r="N104" s="482">
        <v>-10.93</v>
      </c>
      <c r="O104" s="497">
        <v>-1.2</v>
      </c>
      <c r="P104" s="497">
        <v>9.1</v>
      </c>
      <c r="Q104" s="486">
        <f>67861.43/T101</f>
        <v>0.42039333019707265</v>
      </c>
      <c r="R104" s="2346"/>
      <c r="S104" s="650"/>
      <c r="T104" s="522"/>
      <c r="U104" s="452"/>
      <c r="V104" s="2363"/>
      <c r="W104" s="487" t="s">
        <v>175</v>
      </c>
      <c r="X104" s="40" t="s">
        <v>997</v>
      </c>
      <c r="Y104" s="695">
        <f>$R$97+($R$98*20000)+$R$99+$R$102+$R$106+($R$109*8.5)+$T$103</f>
        <v>436.01392100687099</v>
      </c>
      <c r="Z104" s="2391">
        <f>Y105-Y104</f>
        <v>14.535999999999945</v>
      </c>
      <c r="AA104" s="2398">
        <f>(9.4-8.5)*$P$109</f>
        <v>9.0720000000000045</v>
      </c>
      <c r="AB104" s="473"/>
      <c r="AC104" s="476"/>
      <c r="AD104" s="490" t="s">
        <v>886</v>
      </c>
      <c r="AE104" s="491">
        <v>4.9111927265154582</v>
      </c>
      <c r="AF104" s="475"/>
      <c r="AG104" s="476"/>
      <c r="AH104" s="477"/>
      <c r="AI104" s="477"/>
      <c r="AJ104" s="477"/>
      <c r="AK104" s="477"/>
      <c r="AL104" s="477"/>
      <c r="AM104" s="477"/>
      <c r="AN104" s="477"/>
      <c r="AO104" s="477"/>
      <c r="AP104" s="477"/>
      <c r="AQ104" s="477"/>
      <c r="AR104" s="477"/>
      <c r="AS104" s="477"/>
      <c r="AT104" s="477"/>
      <c r="AU104" s="477"/>
      <c r="AV104" s="477"/>
      <c r="AW104" s="477"/>
      <c r="AX104" s="477"/>
      <c r="AY104" s="477"/>
      <c r="AZ104" s="477"/>
      <c r="BA104" s="477"/>
      <c r="BB104" s="477"/>
      <c r="BC104" s="477"/>
      <c r="BD104" s="477"/>
      <c r="BE104" s="477"/>
      <c r="BF104" s="477"/>
      <c r="BG104" s="477"/>
      <c r="BH104" s="432"/>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DI104" s="435"/>
    </row>
    <row r="105" spans="1:123" s="433" customFormat="1">
      <c r="A105" s="2400"/>
      <c r="B105" s="2273"/>
      <c r="C105" s="2274"/>
      <c r="D105" s="704">
        <v>4</v>
      </c>
      <c r="E105" s="665">
        <v>130</v>
      </c>
      <c r="F105" s="697" t="s">
        <v>35</v>
      </c>
      <c r="G105" s="697" t="s">
        <v>35</v>
      </c>
      <c r="H105" s="698">
        <v>249.1</v>
      </c>
      <c r="I105" s="699">
        <v>343.54</v>
      </c>
      <c r="J105" s="2395"/>
      <c r="K105" s="479" t="s">
        <v>35</v>
      </c>
      <c r="L105" s="2395"/>
      <c r="M105" s="479" t="s">
        <v>35</v>
      </c>
      <c r="N105" s="482">
        <v>-1.1200000000000001</v>
      </c>
      <c r="O105" s="497">
        <v>-0.06</v>
      </c>
      <c r="P105" s="497">
        <v>18.760000000000002</v>
      </c>
      <c r="Q105" s="486">
        <f>1074.74/T101</f>
        <v>6.6578839805763292E-3</v>
      </c>
      <c r="R105" s="2346"/>
      <c r="S105" s="514"/>
      <c r="T105" s="515"/>
      <c r="U105" s="452"/>
      <c r="V105" s="2363"/>
      <c r="W105" s="509" t="s">
        <v>174</v>
      </c>
      <c r="X105" s="707" t="s">
        <v>998</v>
      </c>
      <c r="Y105" s="695">
        <f>$R$96+($R$98*20000)+$R$99+$R$102+$R$106+($R$109*9.4)+$T$103</f>
        <v>450.54992100687093</v>
      </c>
      <c r="Z105" s="2398"/>
      <c r="AA105" s="2390"/>
      <c r="AB105" s="473"/>
      <c r="AC105" s="476"/>
      <c r="AD105" s="490" t="s">
        <v>888</v>
      </c>
      <c r="AE105" s="491">
        <v>3.3660884788166916</v>
      </c>
      <c r="AF105" s="475"/>
      <c r="AG105" s="476"/>
      <c r="AH105" s="477"/>
      <c r="AI105" s="477"/>
      <c r="AJ105" s="477"/>
      <c r="AK105" s="477"/>
      <c r="AL105" s="477"/>
      <c r="AM105" s="477"/>
      <c r="AN105" s="477"/>
      <c r="AO105" s="477"/>
      <c r="AP105" s="477"/>
      <c r="AQ105" s="477"/>
      <c r="AR105" s="477"/>
      <c r="AS105" s="477"/>
      <c r="AT105" s="477"/>
      <c r="AU105" s="477"/>
      <c r="AV105" s="477"/>
      <c r="AW105" s="477"/>
      <c r="AX105" s="477"/>
      <c r="AY105" s="477"/>
      <c r="AZ105" s="477"/>
      <c r="BA105" s="477"/>
      <c r="BB105" s="477"/>
      <c r="BC105" s="477"/>
      <c r="BD105" s="477"/>
      <c r="BE105" s="477"/>
      <c r="BF105" s="477"/>
      <c r="BG105" s="477"/>
      <c r="BH105" s="432"/>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DI105" s="435"/>
    </row>
    <row r="106" spans="1:123" s="433" customFormat="1">
      <c r="A106" s="2400"/>
      <c r="B106" s="2273" t="s">
        <v>999</v>
      </c>
      <c r="C106" s="2274" t="s">
        <v>862</v>
      </c>
      <c r="D106" s="696" t="s">
        <v>1000</v>
      </c>
      <c r="E106" s="665">
        <v>101</v>
      </c>
      <c r="F106" s="697" t="s">
        <v>35</v>
      </c>
      <c r="G106" s="697" t="s">
        <v>35</v>
      </c>
      <c r="H106" s="698">
        <v>119.5</v>
      </c>
      <c r="I106" s="699">
        <v>431.1</v>
      </c>
      <c r="J106" s="2395" t="s">
        <v>35</v>
      </c>
      <c r="K106" s="479" t="s">
        <v>35</v>
      </c>
      <c r="L106" s="2395" t="s">
        <v>35</v>
      </c>
      <c r="M106" s="479" t="s">
        <v>35</v>
      </c>
      <c r="N106" s="482">
        <v>0</v>
      </c>
      <c r="O106" s="483" t="s">
        <v>847</v>
      </c>
      <c r="P106" s="484" t="s">
        <v>847</v>
      </c>
      <c r="Q106" s="486">
        <f>78318.4/T101</f>
        <v>0.48517299136941877</v>
      </c>
      <c r="R106" s="2346">
        <f>SUMPRODUCT(N106:N108,Q106:Q108)</f>
        <v>16.215426372441314</v>
      </c>
      <c r="S106" s="514"/>
      <c r="T106" s="515"/>
      <c r="U106" s="452"/>
      <c r="V106" s="532"/>
      <c r="W106" s="522"/>
      <c r="X106" s="517"/>
      <c r="Y106" s="522"/>
      <c r="Z106" s="522"/>
      <c r="AA106" s="522"/>
      <c r="AB106" s="454"/>
      <c r="AC106" s="476"/>
      <c r="AD106" s="490" t="s">
        <v>890</v>
      </c>
      <c r="AE106" s="491">
        <v>-0.62981991696237116</v>
      </c>
      <c r="AF106" s="475"/>
      <c r="AG106" s="476"/>
      <c r="AH106" s="477"/>
      <c r="AI106" s="477"/>
      <c r="AJ106" s="477"/>
      <c r="AK106" s="477"/>
      <c r="AL106" s="477"/>
      <c r="AM106" s="477"/>
      <c r="AN106" s="477"/>
      <c r="AO106" s="477"/>
      <c r="AP106" s="477"/>
      <c r="AQ106" s="477"/>
      <c r="AR106" s="477"/>
      <c r="AS106" s="477"/>
      <c r="AT106" s="477"/>
      <c r="AU106" s="477"/>
      <c r="AV106" s="477"/>
      <c r="AW106" s="477"/>
      <c r="AX106" s="477"/>
      <c r="AY106" s="477"/>
      <c r="AZ106" s="477"/>
      <c r="BA106" s="477"/>
      <c r="BB106" s="477"/>
      <c r="BC106" s="477"/>
      <c r="BD106" s="477"/>
      <c r="BE106" s="477"/>
      <c r="BF106" s="477"/>
      <c r="BG106" s="477"/>
      <c r="BH106" s="432"/>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DI106" s="435"/>
    </row>
    <row r="107" spans="1:123" s="433" customFormat="1">
      <c r="A107" s="2400"/>
      <c r="B107" s="2273"/>
      <c r="C107" s="2274"/>
      <c r="D107" s="696" t="s">
        <v>1001</v>
      </c>
      <c r="E107" s="665">
        <v>246</v>
      </c>
      <c r="F107" s="697" t="s">
        <v>35</v>
      </c>
      <c r="G107" s="697" t="s">
        <v>35</v>
      </c>
      <c r="H107" s="698">
        <v>254.42</v>
      </c>
      <c r="I107" s="699">
        <v>1019.93</v>
      </c>
      <c r="J107" s="2395"/>
      <c r="K107" s="479" t="s">
        <v>35</v>
      </c>
      <c r="L107" s="2395"/>
      <c r="M107" s="479" t="s">
        <v>35</v>
      </c>
      <c r="N107" s="482">
        <v>26.1</v>
      </c>
      <c r="O107" s="497">
        <v>4.67</v>
      </c>
      <c r="P107" s="497">
        <v>5.59</v>
      </c>
      <c r="Q107" s="486">
        <f>22084.01/T101</f>
        <v>0.13680776411586751</v>
      </c>
      <c r="R107" s="2346"/>
      <c r="S107" s="514"/>
      <c r="T107" s="515"/>
      <c r="U107" s="452"/>
      <c r="V107" s="708"/>
      <c r="W107" s="515"/>
      <c r="X107" s="476"/>
      <c r="Y107" s="515"/>
      <c r="Z107" s="515"/>
      <c r="AA107" s="515"/>
      <c r="AB107" s="454"/>
      <c r="AC107" s="476"/>
      <c r="AD107" s="490" t="s">
        <v>894</v>
      </c>
      <c r="AE107" s="491">
        <v>2.7362685618543203</v>
      </c>
      <c r="AF107" s="475"/>
      <c r="AG107" s="476"/>
      <c r="AH107" s="477"/>
      <c r="AI107" s="477"/>
      <c r="AJ107" s="477"/>
      <c r="AK107" s="477"/>
      <c r="AL107" s="477"/>
      <c r="AM107" s="477"/>
      <c r="AN107" s="477"/>
      <c r="AO107" s="477"/>
      <c r="AP107" s="477"/>
      <c r="AQ107" s="477"/>
      <c r="AR107" s="477"/>
      <c r="AS107" s="477"/>
      <c r="AT107" s="477"/>
      <c r="AU107" s="477"/>
      <c r="AV107" s="477"/>
      <c r="AW107" s="477"/>
      <c r="AX107" s="477"/>
      <c r="AY107" s="477"/>
      <c r="AZ107" s="477"/>
      <c r="BA107" s="477"/>
      <c r="BB107" s="477"/>
      <c r="BC107" s="477"/>
      <c r="BD107" s="477"/>
      <c r="BE107" s="477"/>
      <c r="BF107" s="477"/>
      <c r="BG107" s="477"/>
      <c r="BH107" s="432"/>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DI107" s="435"/>
    </row>
    <row r="108" spans="1:123">
      <c r="A108" s="2400"/>
      <c r="B108" s="2273"/>
      <c r="C108" s="2274"/>
      <c r="D108" s="696" t="s">
        <v>1002</v>
      </c>
      <c r="E108" s="665">
        <v>291</v>
      </c>
      <c r="F108" s="697" t="s">
        <v>35</v>
      </c>
      <c r="G108" s="697" t="s">
        <v>35</v>
      </c>
      <c r="H108" s="698">
        <v>239.57</v>
      </c>
      <c r="I108" s="699">
        <v>1229.46</v>
      </c>
      <c r="J108" s="2395"/>
      <c r="K108" s="479" t="s">
        <v>35</v>
      </c>
      <c r="L108" s="2395"/>
      <c r="M108" s="479" t="s">
        <v>35</v>
      </c>
      <c r="N108" s="482">
        <v>33.450000000000003</v>
      </c>
      <c r="O108" s="497">
        <v>7.26</v>
      </c>
      <c r="P108" s="497">
        <v>4.6100000000000003</v>
      </c>
      <c r="Q108" s="486">
        <f>61021.25/T101</f>
        <v>0.37801924451471364</v>
      </c>
      <c r="R108" s="2346"/>
      <c r="S108" s="514"/>
      <c r="T108" s="515"/>
      <c r="U108" s="452"/>
      <c r="V108" s="518"/>
      <c r="W108" s="476"/>
      <c r="X108" s="476"/>
      <c r="Y108" s="515"/>
      <c r="Z108" s="515"/>
      <c r="AA108" s="515"/>
      <c r="AB108" s="454"/>
      <c r="AC108" s="476"/>
      <c r="AD108" s="490" t="s">
        <v>897</v>
      </c>
      <c r="AE108" s="491">
        <v>16.403590993617669</v>
      </c>
      <c r="AF108" s="475"/>
      <c r="AG108" s="476"/>
      <c r="AH108" s="477"/>
      <c r="AI108" s="477"/>
      <c r="AJ108" s="477"/>
      <c r="AK108" s="477"/>
      <c r="AL108" s="477"/>
      <c r="AM108" s="477"/>
      <c r="AN108" s="477"/>
      <c r="AO108" s="477"/>
      <c r="AP108" s="477"/>
      <c r="AQ108" s="477"/>
      <c r="AR108" s="477"/>
      <c r="AS108" s="477"/>
      <c r="AT108" s="477"/>
      <c r="AU108" s="477"/>
      <c r="AV108" s="477"/>
      <c r="AW108" s="477"/>
      <c r="AX108" s="477"/>
      <c r="AY108" s="477"/>
      <c r="AZ108" s="477"/>
      <c r="BA108" s="477"/>
      <c r="BB108" s="477"/>
      <c r="BC108" s="477"/>
      <c r="BD108" s="477"/>
      <c r="BE108" s="477"/>
      <c r="BF108" s="477"/>
      <c r="BG108" s="477"/>
    </row>
    <row r="109" spans="1:123">
      <c r="A109" s="2400"/>
      <c r="B109" s="492" t="s">
        <v>521</v>
      </c>
      <c r="C109" s="493" t="s">
        <v>853</v>
      </c>
      <c r="D109" s="478" t="s">
        <v>1003</v>
      </c>
      <c r="E109" s="178">
        <v>638</v>
      </c>
      <c r="F109" s="178">
        <v>10.199999999999999</v>
      </c>
      <c r="G109" s="494">
        <v>0.6</v>
      </c>
      <c r="H109" s="698">
        <v>183.34</v>
      </c>
      <c r="I109" s="699">
        <v>1447.97</v>
      </c>
      <c r="J109" s="523" t="s">
        <v>35</v>
      </c>
      <c r="K109" s="479" t="s">
        <v>35</v>
      </c>
      <c r="L109" s="495" t="s">
        <v>853</v>
      </c>
      <c r="M109" s="700" t="s">
        <v>987</v>
      </c>
      <c r="N109" s="482">
        <v>27.54</v>
      </c>
      <c r="O109" s="497">
        <v>2.73</v>
      </c>
      <c r="P109" s="701">
        <v>10.08</v>
      </c>
      <c r="Q109" s="530" t="s">
        <v>35</v>
      </c>
      <c r="R109" s="519">
        <v>27.54</v>
      </c>
      <c r="S109" s="514"/>
      <c r="T109" s="515"/>
      <c r="U109" s="452"/>
      <c r="V109" s="518"/>
      <c r="W109" s="476"/>
      <c r="X109" s="476"/>
      <c r="Y109" s="515"/>
      <c r="Z109" s="515"/>
      <c r="AA109" s="515"/>
      <c r="AB109" s="454"/>
      <c r="AC109" s="476"/>
      <c r="AD109" s="490" t="s">
        <v>794</v>
      </c>
      <c r="AE109" s="709">
        <v>399</v>
      </c>
      <c r="AF109" s="475"/>
      <c r="AG109" s="476"/>
      <c r="AH109" s="477"/>
      <c r="AI109" s="477"/>
      <c r="AJ109" s="477"/>
      <c r="AK109" s="477"/>
      <c r="AL109" s="477"/>
      <c r="AM109" s="477"/>
      <c r="AN109" s="477"/>
      <c r="AO109" s="477"/>
      <c r="AP109" s="477"/>
      <c r="AQ109" s="477"/>
      <c r="AR109" s="477"/>
      <c r="AS109" s="477"/>
      <c r="AT109" s="477"/>
      <c r="AU109" s="477"/>
      <c r="AV109" s="477"/>
      <c r="AW109" s="477"/>
      <c r="AX109" s="477"/>
      <c r="AY109" s="477"/>
      <c r="AZ109" s="477"/>
      <c r="BA109" s="477"/>
      <c r="BB109" s="477"/>
      <c r="BC109" s="477"/>
      <c r="BD109" s="477"/>
      <c r="BE109" s="477"/>
      <c r="BF109" s="477"/>
      <c r="BG109" s="477"/>
    </row>
    <row r="110" spans="1:123">
      <c r="A110" s="2400"/>
      <c r="B110" s="2273" t="s">
        <v>1004</v>
      </c>
      <c r="C110" s="2393" t="s">
        <v>35</v>
      </c>
      <c r="D110" s="2394" t="s">
        <v>35</v>
      </c>
      <c r="E110" s="697" t="s">
        <v>35</v>
      </c>
      <c r="F110" s="697" t="s">
        <v>35</v>
      </c>
      <c r="G110" s="697" t="s">
        <v>35</v>
      </c>
      <c r="H110" s="697" t="s">
        <v>35</v>
      </c>
      <c r="I110" s="697" t="s">
        <v>35</v>
      </c>
      <c r="J110" s="2395" t="s">
        <v>35</v>
      </c>
      <c r="K110" s="2394" t="s">
        <v>35</v>
      </c>
      <c r="L110" s="2397" t="s">
        <v>839</v>
      </c>
      <c r="M110" s="527" t="s">
        <v>840</v>
      </c>
      <c r="N110" s="528" t="s">
        <v>35</v>
      </c>
      <c r="O110" s="529" t="s">
        <v>35</v>
      </c>
      <c r="P110" s="710"/>
      <c r="Q110" s="530" t="s">
        <v>35</v>
      </c>
      <c r="R110" s="530" t="s">
        <v>35</v>
      </c>
      <c r="S110" s="514"/>
      <c r="T110" s="515"/>
      <c r="U110" s="452"/>
      <c r="V110" s="518"/>
      <c r="W110" s="476"/>
      <c r="X110" s="476"/>
      <c r="Y110" s="515"/>
      <c r="Z110" s="515"/>
      <c r="AA110" s="515"/>
      <c r="AB110" s="454"/>
      <c r="AC110" s="476"/>
      <c r="AD110" s="520"/>
      <c r="AE110" s="521"/>
      <c r="AF110" s="475"/>
      <c r="AG110" s="476"/>
      <c r="AH110" s="477"/>
      <c r="AI110" s="477"/>
      <c r="AJ110" s="477"/>
      <c r="AK110" s="477"/>
      <c r="AL110" s="477"/>
      <c r="AM110" s="477"/>
      <c r="AN110" s="477"/>
      <c r="AO110" s="477"/>
      <c r="AP110" s="477"/>
      <c r="AQ110" s="477"/>
      <c r="AR110" s="477"/>
      <c r="AS110" s="477"/>
      <c r="AT110" s="477"/>
      <c r="AU110" s="477"/>
      <c r="AV110" s="477"/>
      <c r="AW110" s="477"/>
      <c r="AX110" s="477"/>
      <c r="AY110" s="477"/>
      <c r="AZ110" s="477"/>
      <c r="BA110" s="477"/>
      <c r="BB110" s="477"/>
      <c r="BC110" s="477"/>
      <c r="BD110" s="477"/>
      <c r="BE110" s="477"/>
      <c r="BF110" s="477"/>
      <c r="BG110" s="477"/>
    </row>
    <row r="111" spans="1:123" ht="15" thickBot="1">
      <c r="A111" s="2400"/>
      <c r="B111" s="2273"/>
      <c r="C111" s="2393"/>
      <c r="D111" s="2394"/>
      <c r="E111" s="697" t="s">
        <v>35</v>
      </c>
      <c r="F111" s="697" t="s">
        <v>35</v>
      </c>
      <c r="G111" s="697" t="s">
        <v>35</v>
      </c>
      <c r="H111" s="697" t="s">
        <v>35</v>
      </c>
      <c r="I111" s="697" t="s">
        <v>35</v>
      </c>
      <c r="J111" s="2395"/>
      <c r="K111" s="2394"/>
      <c r="L111" s="2397"/>
      <c r="M111" s="527" t="s">
        <v>64</v>
      </c>
      <c r="N111" s="528" t="s">
        <v>35</v>
      </c>
      <c r="O111" s="529" t="s">
        <v>35</v>
      </c>
      <c r="P111" s="710"/>
      <c r="Q111" s="530" t="s">
        <v>35</v>
      </c>
      <c r="R111" s="530" t="s">
        <v>35</v>
      </c>
      <c r="S111" s="552"/>
      <c r="T111" s="711"/>
      <c r="U111" s="452"/>
      <c r="V111" s="712"/>
      <c r="W111" s="713"/>
      <c r="X111" s="713"/>
      <c r="Y111" s="711"/>
      <c r="Z111" s="711"/>
      <c r="AA111" s="711"/>
      <c r="AB111" s="454"/>
      <c r="AC111" s="476"/>
      <c r="AD111" s="675"/>
      <c r="AE111" s="676"/>
      <c r="AF111" s="475"/>
      <c r="AG111" s="476"/>
      <c r="AH111" s="477"/>
      <c r="AI111" s="477"/>
      <c r="AJ111" s="477"/>
      <c r="AK111" s="477"/>
      <c r="AL111" s="477"/>
      <c r="AM111" s="477"/>
      <c r="AN111" s="477"/>
      <c r="AO111" s="477"/>
      <c r="AP111" s="477"/>
      <c r="AQ111" s="477"/>
      <c r="AR111" s="477"/>
      <c r="AS111" s="477"/>
      <c r="AT111" s="477"/>
      <c r="AU111" s="477"/>
      <c r="AV111" s="477"/>
      <c r="AW111" s="477"/>
      <c r="AX111" s="477"/>
      <c r="AY111" s="477"/>
      <c r="AZ111" s="477"/>
      <c r="BA111" s="477"/>
      <c r="BB111" s="477"/>
      <c r="BC111" s="477"/>
      <c r="BD111" s="477"/>
      <c r="BE111" s="477"/>
      <c r="BF111" s="477"/>
      <c r="BG111" s="477"/>
    </row>
    <row r="112" spans="1:123" s="626" customFormat="1" ht="9" customHeight="1" thickBot="1">
      <c r="A112" s="540"/>
      <c r="B112" s="541"/>
      <c r="C112" s="444"/>
      <c r="D112" s="445"/>
      <c r="E112" s="445"/>
      <c r="F112" s="445"/>
      <c r="G112" s="445"/>
      <c r="H112" s="445"/>
      <c r="I112" s="445"/>
      <c r="J112" s="446"/>
      <c r="K112" s="445"/>
      <c r="L112" s="446"/>
      <c r="M112" s="447"/>
      <c r="N112" s="448"/>
      <c r="O112" s="449"/>
      <c r="P112" s="449"/>
      <c r="Q112" s="450"/>
      <c r="R112" s="450"/>
      <c r="S112" s="451"/>
      <c r="T112" s="451"/>
      <c r="U112" s="452"/>
      <c r="V112" s="453"/>
      <c r="W112" s="447"/>
      <c r="X112" s="447"/>
      <c r="Y112" s="451"/>
      <c r="Z112" s="451"/>
      <c r="AA112" s="451"/>
      <c r="AB112" s="454"/>
      <c r="AC112" s="447"/>
      <c r="AD112" s="447"/>
      <c r="AE112" s="447"/>
      <c r="AF112" s="455"/>
      <c r="AG112" s="447"/>
      <c r="AH112" s="456"/>
      <c r="AI112" s="653"/>
      <c r="AJ112" s="653"/>
      <c r="AK112" s="653"/>
      <c r="AL112" s="653"/>
      <c r="AM112" s="653"/>
      <c r="AN112" s="653"/>
      <c r="AO112" s="653"/>
      <c r="AP112" s="653"/>
      <c r="AQ112" s="653"/>
      <c r="AR112" s="653"/>
      <c r="AS112" s="653"/>
      <c r="AT112" s="653"/>
      <c r="AU112" s="653"/>
      <c r="AV112" s="653"/>
      <c r="AW112" s="653"/>
      <c r="AX112" s="653"/>
      <c r="AY112" s="653"/>
      <c r="AZ112" s="653"/>
      <c r="BA112" s="653"/>
      <c r="BB112" s="653"/>
      <c r="BC112" s="653"/>
      <c r="BD112" s="653"/>
      <c r="BE112" s="653"/>
      <c r="BF112" s="653"/>
      <c r="BG112" s="653"/>
      <c r="BH112" s="432"/>
      <c r="CF112" s="542"/>
      <c r="CG112" s="542"/>
      <c r="CH112" s="542"/>
      <c r="CI112" s="542"/>
      <c r="CJ112" s="542"/>
      <c r="CK112" s="542"/>
      <c r="CL112" s="542"/>
      <c r="CM112" s="542"/>
      <c r="CN112" s="542"/>
      <c r="CO112" s="542"/>
      <c r="CP112" s="542"/>
      <c r="CQ112" s="542"/>
      <c r="CR112" s="542"/>
      <c r="CS112" s="542"/>
      <c r="CT112" s="542"/>
      <c r="CU112" s="542"/>
      <c r="CV112" s="542"/>
      <c r="CW112" s="542"/>
      <c r="CX112" s="542"/>
      <c r="CY112" s="542"/>
      <c r="CZ112" s="542"/>
      <c r="DA112" s="542"/>
      <c r="DB112" s="542"/>
      <c r="DC112" s="542"/>
      <c r="DD112" s="542"/>
      <c r="DE112" s="542"/>
      <c r="DF112" s="542"/>
      <c r="DG112" s="542"/>
      <c r="DH112" s="542"/>
      <c r="DI112" s="543"/>
      <c r="DJ112" s="542"/>
      <c r="DK112" s="542"/>
      <c r="DL112" s="542"/>
      <c r="DM112" s="542"/>
      <c r="DN112" s="542"/>
      <c r="DO112" s="542"/>
      <c r="DP112" s="542"/>
      <c r="DQ112" s="542"/>
      <c r="DR112" s="542"/>
      <c r="DS112" s="542"/>
    </row>
    <row r="113" spans="1:123">
      <c r="A113" s="2336" t="s">
        <v>1005</v>
      </c>
      <c r="B113" s="627" t="s">
        <v>1006</v>
      </c>
      <c r="C113" s="654" t="s">
        <v>853</v>
      </c>
      <c r="D113" s="655" t="s">
        <v>1007</v>
      </c>
      <c r="E113" s="714">
        <v>25</v>
      </c>
      <c r="F113" s="715">
        <v>2656.48</v>
      </c>
      <c r="G113" s="715">
        <v>1485.36</v>
      </c>
      <c r="H113" s="716">
        <v>665.36</v>
      </c>
      <c r="I113" s="717">
        <v>276.11</v>
      </c>
      <c r="J113" s="718" t="s">
        <v>35</v>
      </c>
      <c r="K113" s="719" t="s">
        <v>35</v>
      </c>
      <c r="L113" s="718" t="s">
        <v>35</v>
      </c>
      <c r="M113" s="719" t="s">
        <v>35</v>
      </c>
      <c r="N113" s="657">
        <v>0.106</v>
      </c>
      <c r="O113" s="720">
        <v>5.68</v>
      </c>
      <c r="P113" s="720">
        <v>1.7999999999999999E-2</v>
      </c>
      <c r="Q113" s="485" t="s">
        <v>35</v>
      </c>
      <c r="R113" s="721">
        <v>0.106</v>
      </c>
      <c r="S113" s="667" t="s">
        <v>841</v>
      </c>
      <c r="T113" s="637" t="s">
        <v>842</v>
      </c>
      <c r="U113" s="560"/>
      <c r="V113" s="2392" t="s">
        <v>1008</v>
      </c>
      <c r="W113" s="583" t="s">
        <v>175</v>
      </c>
      <c r="X113" s="583" t="s">
        <v>1009</v>
      </c>
      <c r="Y113" s="681">
        <v>0</v>
      </c>
      <c r="Z113" s="660" t="s">
        <v>918</v>
      </c>
      <c r="AA113" s="661" t="s">
        <v>918</v>
      </c>
      <c r="AB113" s="722"/>
      <c r="AC113" s="723"/>
      <c r="AD113" s="2330" t="s">
        <v>846</v>
      </c>
      <c r="AE113" s="1989"/>
      <c r="AF113" s="724" t="s">
        <v>0</v>
      </c>
      <c r="AG113" s="725" t="s">
        <v>1010</v>
      </c>
      <c r="AH113" s="726">
        <f>Y114</f>
        <v>1251.72576</v>
      </c>
      <c r="AI113" s="727"/>
      <c r="AJ113" s="727"/>
      <c r="AK113" s="727"/>
      <c r="AL113" s="727"/>
      <c r="AM113" s="727"/>
      <c r="AN113" s="727">
        <v>1389</v>
      </c>
      <c r="AO113" s="727">
        <v>1329</v>
      </c>
      <c r="AP113" s="728">
        <v>1499</v>
      </c>
      <c r="AQ113" s="662"/>
      <c r="AR113" s="663"/>
      <c r="AS113" s="663"/>
      <c r="AT113" s="663"/>
      <c r="AU113" s="663"/>
      <c r="AV113" s="663"/>
      <c r="AW113" s="663"/>
      <c r="AX113" s="663"/>
      <c r="AY113" s="663"/>
      <c r="AZ113" s="663"/>
      <c r="BA113" s="663"/>
      <c r="BB113" s="663"/>
      <c r="BC113" s="663"/>
      <c r="BD113" s="663"/>
      <c r="BE113" s="663"/>
      <c r="BF113" s="663"/>
      <c r="BG113" s="663"/>
    </row>
    <row r="114" spans="1:123">
      <c r="A114" s="2337"/>
      <c r="B114" s="729" t="s">
        <v>1011</v>
      </c>
      <c r="C114" s="730" t="s">
        <v>853</v>
      </c>
      <c r="D114" s="731" t="s">
        <v>1012</v>
      </c>
      <c r="E114" s="714">
        <v>25</v>
      </c>
      <c r="F114" s="732">
        <v>2656.48</v>
      </c>
      <c r="G114" s="732">
        <v>1485.36</v>
      </c>
      <c r="H114" s="733">
        <v>665.36</v>
      </c>
      <c r="I114" s="734">
        <v>276.11</v>
      </c>
      <c r="J114" s="735" t="s">
        <v>35</v>
      </c>
      <c r="K114" s="520" t="s">
        <v>35</v>
      </c>
      <c r="L114" s="735" t="s">
        <v>35</v>
      </c>
      <c r="M114" s="520" t="s">
        <v>35</v>
      </c>
      <c r="N114" s="736">
        <v>118.61</v>
      </c>
      <c r="O114" s="737">
        <v>2.9</v>
      </c>
      <c r="P114" s="737">
        <v>40.950000000000003</v>
      </c>
      <c r="Q114" s="738" t="s">
        <v>35</v>
      </c>
      <c r="R114" s="739">
        <f>N114</f>
        <v>118.61</v>
      </c>
      <c r="S114" s="487" t="s">
        <v>1013</v>
      </c>
      <c r="T114" s="488" t="s">
        <v>1014</v>
      </c>
      <c r="U114" s="452"/>
      <c r="V114" s="2363"/>
      <c r="W114" s="92" t="s">
        <v>174</v>
      </c>
      <c r="X114" s="40" t="s">
        <v>1010</v>
      </c>
      <c r="Y114" s="726">
        <f>(($R$113*2500)+($R$114*1)+($R$115*1)+$T$120)*(1+$T$122)</f>
        <v>1251.72576</v>
      </c>
      <c r="Z114" s="681">
        <f>Y114</f>
        <v>1251.72576</v>
      </c>
      <c r="AA114" s="682">
        <f>101.09/H113*Y114</f>
        <v>190.17818485992547</v>
      </c>
      <c r="AB114" s="722"/>
      <c r="AC114" s="740"/>
      <c r="AD114" s="741" t="s">
        <v>795</v>
      </c>
      <c r="AE114" s="742">
        <v>-3.6999999999999998E-2</v>
      </c>
      <c r="AF114" s="724" t="s">
        <v>0</v>
      </c>
      <c r="AG114" s="40" t="s">
        <v>1015</v>
      </c>
      <c r="AH114" s="726">
        <f>Y115</f>
        <v>535.10399999999993</v>
      </c>
      <c r="AI114" s="727">
        <v>559</v>
      </c>
      <c r="AJ114" s="727">
        <v>559</v>
      </c>
      <c r="AK114" s="727">
        <v>617</v>
      </c>
      <c r="AL114" s="727">
        <v>559</v>
      </c>
      <c r="AM114" s="727"/>
      <c r="AN114" s="727"/>
      <c r="AO114" s="727"/>
      <c r="AP114" s="728"/>
      <c r="AQ114" s="662"/>
      <c r="AR114" s="663"/>
      <c r="AS114" s="663"/>
      <c r="AT114" s="663"/>
      <c r="AU114" s="663"/>
      <c r="AV114" s="663"/>
      <c r="AW114" s="663"/>
      <c r="AX114" s="663"/>
      <c r="AY114" s="663"/>
      <c r="AZ114" s="663"/>
      <c r="BA114" s="663"/>
      <c r="BB114" s="663"/>
      <c r="BC114" s="663"/>
      <c r="BD114" s="663"/>
      <c r="BE114" s="663"/>
      <c r="BF114" s="663"/>
      <c r="BG114" s="663"/>
    </row>
    <row r="115" spans="1:123">
      <c r="A115" s="2337"/>
      <c r="B115" s="2348" t="s">
        <v>1016</v>
      </c>
      <c r="C115" s="2326" t="s">
        <v>839</v>
      </c>
      <c r="D115" s="92" t="s">
        <v>65</v>
      </c>
      <c r="E115" s="714">
        <v>22</v>
      </c>
      <c r="F115" s="743" t="s">
        <v>35</v>
      </c>
      <c r="G115" s="743" t="s">
        <v>35</v>
      </c>
      <c r="H115" s="716">
        <v>1139</v>
      </c>
      <c r="I115" s="717">
        <v>122</v>
      </c>
      <c r="J115" s="718" t="s">
        <v>35</v>
      </c>
      <c r="K115" s="719" t="s">
        <v>35</v>
      </c>
      <c r="L115" s="718" t="s">
        <v>35</v>
      </c>
      <c r="M115" s="719" t="s">
        <v>35</v>
      </c>
      <c r="N115" s="736">
        <v>570.21</v>
      </c>
      <c r="O115" s="737">
        <v>6.74</v>
      </c>
      <c r="P115" s="737">
        <v>84.59</v>
      </c>
      <c r="Q115" s="744">
        <f>E115/25</f>
        <v>0.88</v>
      </c>
      <c r="R115" s="2305">
        <f>SUMPRODUCT(N115:N116,Q115:Q116)</f>
        <v>501.78480000000002</v>
      </c>
      <c r="S115" s="667" t="s">
        <v>858</v>
      </c>
      <c r="T115" s="499" t="s">
        <v>859</v>
      </c>
      <c r="U115" s="470"/>
      <c r="V115" s="2363"/>
      <c r="W115" s="92" t="s">
        <v>174</v>
      </c>
      <c r="X115" s="40" t="s">
        <v>1015</v>
      </c>
      <c r="Y115" s="726">
        <f>(($R$113*1600)+($R$114*1)+($R$115*0)+$T$120)*(1+$T$122)</f>
        <v>535.10399999999993</v>
      </c>
      <c r="Z115" s="681">
        <f>Y115</f>
        <v>535.10399999999993</v>
      </c>
      <c r="AA115" s="682">
        <f>101.09/H113*Y115</f>
        <v>81.299842731754225</v>
      </c>
      <c r="AB115" s="722"/>
      <c r="AC115" s="740"/>
      <c r="AD115" s="741" t="s">
        <v>874</v>
      </c>
      <c r="AE115" s="742">
        <v>5.1999999999999998E-2</v>
      </c>
      <c r="AF115" s="724" t="s">
        <v>0</v>
      </c>
      <c r="AG115" s="40" t="s">
        <v>1017</v>
      </c>
      <c r="AH115" s="726">
        <f t="shared" ref="AH115:AH117" si="0">Y116</f>
        <v>649.58400000000006</v>
      </c>
      <c r="AI115" s="727">
        <v>649</v>
      </c>
      <c r="AJ115" s="727">
        <v>649</v>
      </c>
      <c r="AK115" s="727">
        <v>671</v>
      </c>
      <c r="AL115" s="727">
        <v>649</v>
      </c>
      <c r="AM115" s="727"/>
      <c r="AN115" s="727"/>
      <c r="AO115" s="727"/>
      <c r="AP115" s="728"/>
      <c r="AQ115" s="662"/>
      <c r="AR115" s="663"/>
      <c r="AS115" s="663"/>
      <c r="AT115" s="663"/>
      <c r="AU115" s="663"/>
      <c r="AV115" s="663"/>
      <c r="AW115" s="663"/>
      <c r="AX115" s="663"/>
      <c r="AY115" s="663"/>
      <c r="AZ115" s="663"/>
      <c r="BA115" s="663"/>
      <c r="BB115" s="663"/>
      <c r="BC115" s="663"/>
      <c r="BD115" s="663"/>
      <c r="BE115" s="663"/>
      <c r="BF115" s="663"/>
      <c r="BG115" s="663"/>
    </row>
    <row r="116" spans="1:123">
      <c r="A116" s="2337"/>
      <c r="B116" s="2350"/>
      <c r="C116" s="2328"/>
      <c r="D116" s="745" t="s">
        <v>1018</v>
      </c>
      <c r="E116" s="714">
        <v>3</v>
      </c>
      <c r="F116" s="743" t="s">
        <v>35</v>
      </c>
      <c r="G116" s="743" t="s">
        <v>35</v>
      </c>
      <c r="H116" s="716">
        <v>600.77</v>
      </c>
      <c r="I116" s="717">
        <v>22.01</v>
      </c>
      <c r="J116" s="718" t="s">
        <v>35</v>
      </c>
      <c r="K116" s="719" t="s">
        <v>35</v>
      </c>
      <c r="L116" s="718" t="s">
        <v>35</v>
      </c>
      <c r="M116" s="719" t="s">
        <v>35</v>
      </c>
      <c r="N116" s="746">
        <v>0</v>
      </c>
      <c r="O116" s="747" t="s">
        <v>847</v>
      </c>
      <c r="P116" s="747" t="s">
        <v>847</v>
      </c>
      <c r="Q116" s="744">
        <f>E116/25</f>
        <v>0.12</v>
      </c>
      <c r="R116" s="2306"/>
      <c r="S116" s="748" t="s">
        <v>310</v>
      </c>
      <c r="T116" s="749" t="s">
        <v>1019</v>
      </c>
      <c r="U116" s="591"/>
      <c r="V116" s="2363"/>
      <c r="W116" s="745" t="s">
        <v>174</v>
      </c>
      <c r="X116" s="40" t="s">
        <v>1017</v>
      </c>
      <c r="Y116" s="726">
        <f>(($R$113*2500)+($R$114*1)+($R$115*0)+$T$120)*(1+$T$122)</f>
        <v>649.58400000000006</v>
      </c>
      <c r="Z116" s="681">
        <f>Y116</f>
        <v>649.58400000000006</v>
      </c>
      <c r="AA116" s="682">
        <f>101.09/H113*Y116</f>
        <v>98.693108332331377</v>
      </c>
      <c r="AB116" s="722"/>
      <c r="AC116" s="740"/>
      <c r="AD116" s="741" t="s">
        <v>977</v>
      </c>
      <c r="AE116" s="742">
        <v>-9.5000000000000001E-2</v>
      </c>
      <c r="AF116" s="724" t="s">
        <v>0</v>
      </c>
      <c r="AG116" s="40" t="s">
        <v>1020</v>
      </c>
      <c r="AH116" s="726">
        <f t="shared" si="0"/>
        <v>903.98400000000004</v>
      </c>
      <c r="AI116" s="727"/>
      <c r="AJ116" s="727">
        <v>999</v>
      </c>
      <c r="AK116" s="727"/>
      <c r="AL116" s="727">
        <v>999</v>
      </c>
      <c r="AM116" s="727">
        <v>999</v>
      </c>
      <c r="AN116" s="727"/>
      <c r="AO116" s="727"/>
      <c r="AP116" s="728"/>
      <c r="AQ116" s="662"/>
      <c r="AR116" s="663"/>
      <c r="AS116" s="663"/>
      <c r="AT116" s="663"/>
      <c r="AU116" s="663"/>
      <c r="AV116" s="663"/>
      <c r="AW116" s="663"/>
      <c r="AX116" s="663"/>
      <c r="AY116" s="663"/>
      <c r="AZ116" s="663"/>
      <c r="BA116" s="663"/>
      <c r="BB116" s="663"/>
      <c r="BC116" s="663"/>
      <c r="BD116" s="663"/>
      <c r="BE116" s="663"/>
      <c r="BF116" s="663"/>
      <c r="BG116" s="663"/>
    </row>
    <row r="117" spans="1:123">
      <c r="A117" s="2337"/>
      <c r="B117" s="2307" t="s">
        <v>1021</v>
      </c>
      <c r="C117" s="522"/>
      <c r="D117" s="521"/>
      <c r="E117" s="521"/>
      <c r="F117" s="521"/>
      <c r="G117" s="521"/>
      <c r="H117" s="521"/>
      <c r="I117" s="521"/>
      <c r="J117" s="750"/>
      <c r="K117" s="521"/>
      <c r="L117" s="750"/>
      <c r="M117" s="521"/>
      <c r="N117" s="751"/>
      <c r="O117" s="752"/>
      <c r="P117" s="752"/>
      <c r="Q117" s="753"/>
      <c r="R117" s="753"/>
      <c r="S117" s="667" t="s">
        <v>868</v>
      </c>
      <c r="T117" s="637" t="s">
        <v>869</v>
      </c>
      <c r="U117" s="560"/>
      <c r="V117" s="2363"/>
      <c r="W117" s="92" t="s">
        <v>174</v>
      </c>
      <c r="X117" s="40" t="s">
        <v>1020</v>
      </c>
      <c r="Y117" s="726">
        <f>(($R$113*4500)+($R$114*1)+($R$115*0)+$T$120)*(1+$T$122)</f>
        <v>903.98400000000004</v>
      </c>
      <c r="Z117" s="681">
        <f>Y117</f>
        <v>903.98400000000004</v>
      </c>
      <c r="AA117" s="682">
        <f>101.09/H113*Y117</f>
        <v>137.34480966694721</v>
      </c>
      <c r="AB117" s="722"/>
      <c r="AC117" s="740"/>
      <c r="AD117" s="754" t="s">
        <v>978</v>
      </c>
      <c r="AE117" s="755">
        <v>3.5999999999999997E-2</v>
      </c>
      <c r="AF117" s="756" t="s">
        <v>0</v>
      </c>
      <c r="AG117" s="707" t="s">
        <v>1022</v>
      </c>
      <c r="AH117" s="726">
        <f t="shared" si="0"/>
        <v>620.19600000000003</v>
      </c>
      <c r="AI117" s="727">
        <v>686</v>
      </c>
      <c r="AJ117" s="727">
        <v>579</v>
      </c>
      <c r="AK117" s="727">
        <v>550</v>
      </c>
      <c r="AL117" s="727"/>
      <c r="AM117" s="727"/>
      <c r="AN117" s="727">
        <v>579</v>
      </c>
      <c r="AO117" s="727"/>
      <c r="AP117" s="728"/>
      <c r="AQ117" s="662"/>
      <c r="AR117" s="663"/>
      <c r="AS117" s="663"/>
      <c r="AT117" s="663"/>
      <c r="AU117" s="663"/>
      <c r="AV117" s="663"/>
      <c r="AW117" s="663"/>
      <c r="AX117" s="663"/>
      <c r="AY117" s="663"/>
      <c r="AZ117" s="663"/>
      <c r="BA117" s="663"/>
      <c r="BB117" s="663"/>
      <c r="BC117" s="663"/>
      <c r="BD117" s="663"/>
      <c r="BE117" s="663"/>
      <c r="BF117" s="663"/>
      <c r="BG117" s="663"/>
    </row>
    <row r="118" spans="1:123">
      <c r="A118" s="2337"/>
      <c r="B118" s="2308"/>
      <c r="C118" s="515"/>
      <c r="D118" s="525"/>
      <c r="E118" s="525"/>
      <c r="F118" s="525"/>
      <c r="G118" s="525"/>
      <c r="H118" s="525"/>
      <c r="I118" s="525"/>
      <c r="J118" s="757"/>
      <c r="K118" s="525"/>
      <c r="L118" s="757"/>
      <c r="M118" s="525"/>
      <c r="N118" s="758"/>
      <c r="O118" s="759"/>
      <c r="P118" s="759"/>
      <c r="Q118" s="605"/>
      <c r="R118" s="605"/>
      <c r="S118" s="564">
        <v>25</v>
      </c>
      <c r="T118" s="488" t="s">
        <v>35</v>
      </c>
      <c r="U118" s="452"/>
      <c r="V118" s="2363"/>
      <c r="W118" s="745" t="s">
        <v>174</v>
      </c>
      <c r="X118" s="707" t="s">
        <v>1022</v>
      </c>
      <c r="Y118" s="726">
        <f>(($R$113*1150)+($R$114*2)+($R$115*0)+$T$120)*(1+$T$122)</f>
        <v>620.19600000000003</v>
      </c>
      <c r="Z118" s="681">
        <f>Y118</f>
        <v>620.19600000000003</v>
      </c>
      <c r="AA118" s="760">
        <f>101.09/H113*Y118</f>
        <v>94.228107550799564</v>
      </c>
      <c r="AB118" s="722"/>
      <c r="AC118" s="525"/>
      <c r="AD118" s="520"/>
      <c r="AE118" s="521"/>
      <c r="AF118" s="750"/>
      <c r="AG118" s="521"/>
      <c r="AH118" s="761"/>
      <c r="AI118" s="761"/>
      <c r="AJ118" s="761"/>
      <c r="AK118" s="761"/>
      <c r="AL118" s="761"/>
      <c r="AM118" s="761"/>
      <c r="AN118" s="761"/>
      <c r="AO118" s="761"/>
      <c r="AP118" s="761"/>
      <c r="AQ118" s="477"/>
      <c r="AR118" s="477"/>
      <c r="AS118" s="477"/>
      <c r="AT118" s="477"/>
      <c r="AU118" s="477"/>
      <c r="AV118" s="477"/>
      <c r="AW118" s="477"/>
      <c r="AX118" s="477"/>
      <c r="AY118" s="477"/>
      <c r="AZ118" s="477"/>
      <c r="BA118" s="477"/>
      <c r="BB118" s="477"/>
      <c r="BC118" s="477"/>
      <c r="BD118" s="477"/>
      <c r="BE118" s="477"/>
      <c r="BF118" s="477"/>
      <c r="BG118" s="477"/>
    </row>
    <row r="119" spans="1:123" ht="15" customHeight="1">
      <c r="A119" s="2337"/>
      <c r="B119" s="2308"/>
      <c r="C119" s="515"/>
      <c r="D119" s="525"/>
      <c r="E119" s="525"/>
      <c r="F119" s="525"/>
      <c r="G119" s="525"/>
      <c r="H119" s="525"/>
      <c r="I119" s="525"/>
      <c r="J119" s="757"/>
      <c r="K119" s="525"/>
      <c r="L119" s="757"/>
      <c r="M119" s="525"/>
      <c r="N119" s="758"/>
      <c r="O119" s="759"/>
      <c r="P119" s="759"/>
      <c r="Q119" s="605"/>
      <c r="R119" s="605"/>
      <c r="S119" s="667" t="s">
        <v>876</v>
      </c>
      <c r="T119" s="637" t="s">
        <v>877</v>
      </c>
      <c r="U119" s="560"/>
      <c r="V119" s="762"/>
      <c r="W119" s="521"/>
      <c r="X119" s="521"/>
      <c r="Y119" s="522"/>
      <c r="Z119" s="522"/>
      <c r="AA119" s="522"/>
      <c r="AB119" s="454"/>
      <c r="AC119" s="525"/>
      <c r="AD119" s="524"/>
      <c r="AE119" s="525"/>
      <c r="AF119" s="757"/>
      <c r="AG119" s="525"/>
      <c r="AH119" s="477"/>
      <c r="AI119" s="477"/>
      <c r="AJ119" s="477"/>
      <c r="AK119" s="477"/>
      <c r="AL119" s="477"/>
      <c r="AM119" s="477"/>
      <c r="AN119" s="477"/>
      <c r="AO119" s="477"/>
      <c r="AP119" s="477"/>
      <c r="AQ119" s="477"/>
      <c r="AR119" s="477"/>
      <c r="AS119" s="477"/>
      <c r="AT119" s="477"/>
      <c r="AU119" s="477"/>
      <c r="AV119" s="477"/>
      <c r="AW119" s="477"/>
      <c r="AX119" s="477"/>
      <c r="AY119" s="477"/>
      <c r="AZ119" s="477"/>
      <c r="BA119" s="477"/>
      <c r="BB119" s="477"/>
      <c r="BC119" s="477"/>
      <c r="BD119" s="477"/>
      <c r="BE119" s="477"/>
      <c r="BF119" s="477"/>
      <c r="BG119" s="477"/>
    </row>
    <row r="120" spans="1:123">
      <c r="A120" s="2337"/>
      <c r="B120" s="2308"/>
      <c r="C120" s="515"/>
      <c r="D120" s="525"/>
      <c r="E120" s="525"/>
      <c r="F120" s="525"/>
      <c r="G120" s="525"/>
      <c r="H120" s="525"/>
      <c r="I120" s="525"/>
      <c r="J120" s="757"/>
      <c r="K120" s="525"/>
      <c r="L120" s="757"/>
      <c r="M120" s="525"/>
      <c r="N120" s="758"/>
      <c r="O120" s="759"/>
      <c r="P120" s="759"/>
      <c r="Q120" s="605"/>
      <c r="R120" s="605"/>
      <c r="S120" s="487">
        <v>0.78900000000000003</v>
      </c>
      <c r="T120" s="488">
        <v>157.71</v>
      </c>
      <c r="U120" s="452"/>
      <c r="V120" s="524"/>
      <c r="W120" s="525"/>
      <c r="X120" s="525"/>
      <c r="Y120" s="515"/>
      <c r="Z120" s="515"/>
      <c r="AA120" s="515"/>
      <c r="AB120" s="454"/>
      <c r="AC120" s="525"/>
      <c r="AD120" s="524"/>
      <c r="AE120" s="525"/>
      <c r="AF120" s="757"/>
      <c r="AG120" s="525"/>
      <c r="AH120" s="477"/>
      <c r="AI120" s="477"/>
      <c r="AJ120" s="477"/>
      <c r="AK120" s="477"/>
      <c r="AL120" s="477"/>
      <c r="AM120" s="477"/>
      <c r="AN120" s="477"/>
      <c r="AO120" s="477"/>
      <c r="AP120" s="477"/>
      <c r="AQ120" s="477"/>
      <c r="AR120" s="477"/>
      <c r="AS120" s="477"/>
      <c r="AT120" s="477"/>
      <c r="AU120" s="477"/>
      <c r="AV120" s="477"/>
      <c r="AW120" s="477"/>
      <c r="AX120" s="477"/>
      <c r="AY120" s="477"/>
      <c r="AZ120" s="477"/>
      <c r="BA120" s="477"/>
      <c r="BB120" s="477"/>
      <c r="BC120" s="477"/>
      <c r="BD120" s="477"/>
      <c r="BE120" s="477"/>
      <c r="BF120" s="477"/>
      <c r="BG120" s="477"/>
    </row>
    <row r="121" spans="1:123">
      <c r="A121" s="2337"/>
      <c r="B121" s="2308"/>
      <c r="C121" s="515"/>
      <c r="D121" s="525"/>
      <c r="E121" s="525"/>
      <c r="F121" s="525"/>
      <c r="G121" s="525"/>
      <c r="H121" s="525"/>
      <c r="I121" s="525"/>
      <c r="J121" s="757"/>
      <c r="K121" s="525"/>
      <c r="L121" s="757"/>
      <c r="M121" s="525"/>
      <c r="N121" s="758"/>
      <c r="O121" s="759"/>
      <c r="P121" s="759"/>
      <c r="Q121" s="605"/>
      <c r="R121" s="605"/>
      <c r="S121" s="667" t="s">
        <v>883</v>
      </c>
      <c r="T121" s="499" t="s">
        <v>884</v>
      </c>
      <c r="U121" s="470"/>
      <c r="V121" s="524"/>
      <c r="W121" s="525"/>
      <c r="X121" s="525"/>
      <c r="Y121" s="515"/>
      <c r="Z121" s="515"/>
      <c r="AA121" s="515"/>
      <c r="AB121" s="454"/>
      <c r="AC121" s="525"/>
      <c r="AD121" s="524"/>
      <c r="AE121" s="525"/>
      <c r="AF121" s="757"/>
      <c r="AG121" s="525"/>
      <c r="AH121" s="477"/>
      <c r="AI121" s="477"/>
      <c r="AJ121" s="477"/>
      <c r="AK121" s="477"/>
      <c r="AL121" s="477"/>
      <c r="AM121" s="477"/>
      <c r="AN121" s="477"/>
      <c r="AO121" s="477"/>
      <c r="AP121" s="477"/>
      <c r="AQ121" s="477"/>
      <c r="AR121" s="477"/>
      <c r="AS121" s="477"/>
      <c r="AT121" s="477"/>
      <c r="AU121" s="477"/>
      <c r="AV121" s="477"/>
      <c r="AW121" s="477"/>
      <c r="AX121" s="477"/>
      <c r="AY121" s="477"/>
      <c r="AZ121" s="477"/>
      <c r="BA121" s="477"/>
      <c r="BB121" s="477"/>
      <c r="BC121" s="477"/>
      <c r="BD121" s="477"/>
      <c r="BE121" s="477"/>
      <c r="BF121" s="477"/>
      <c r="BG121" s="477"/>
    </row>
    <row r="122" spans="1:123" ht="15" thickBot="1">
      <c r="A122" s="2359"/>
      <c r="B122" s="2331"/>
      <c r="C122" s="515"/>
      <c r="D122" s="525"/>
      <c r="E122" s="525"/>
      <c r="F122" s="525"/>
      <c r="G122" s="525"/>
      <c r="H122" s="525"/>
      <c r="I122" s="525"/>
      <c r="J122" s="757"/>
      <c r="K122" s="525"/>
      <c r="L122" s="757"/>
      <c r="M122" s="525"/>
      <c r="N122" s="758"/>
      <c r="O122" s="759"/>
      <c r="P122" s="759"/>
      <c r="Q122" s="605"/>
      <c r="R122" s="605"/>
      <c r="S122" s="763">
        <v>101.09</v>
      </c>
      <c r="T122" s="671">
        <v>0.2</v>
      </c>
      <c r="U122" s="603"/>
      <c r="V122" s="675"/>
      <c r="W122" s="676"/>
      <c r="X122" s="676"/>
      <c r="Y122" s="616"/>
      <c r="Z122" s="616"/>
      <c r="AA122" s="616"/>
      <c r="AB122" s="454"/>
      <c r="AC122" s="525"/>
      <c r="AD122" s="524"/>
      <c r="AE122" s="525"/>
      <c r="AF122" s="757"/>
      <c r="AG122" s="525"/>
      <c r="AH122" s="477"/>
      <c r="AI122" s="477"/>
      <c r="AJ122" s="477"/>
      <c r="AK122" s="477"/>
      <c r="AL122" s="477"/>
      <c r="AM122" s="477"/>
      <c r="AN122" s="477"/>
      <c r="AO122" s="477"/>
      <c r="AP122" s="477"/>
      <c r="AQ122" s="477"/>
      <c r="AR122" s="477"/>
      <c r="AS122" s="477"/>
      <c r="AT122" s="477"/>
      <c r="AU122" s="477"/>
      <c r="AV122" s="477"/>
      <c r="AW122" s="477"/>
      <c r="AX122" s="477"/>
      <c r="AY122" s="477"/>
      <c r="AZ122" s="477"/>
      <c r="BA122" s="477"/>
      <c r="BB122" s="477"/>
      <c r="BC122" s="477"/>
      <c r="BD122" s="477"/>
      <c r="BE122" s="477"/>
      <c r="BF122" s="477"/>
      <c r="BG122" s="477"/>
    </row>
    <row r="123" spans="1:123" s="626" customFormat="1" ht="9" customHeight="1" thickBot="1">
      <c r="A123" s="540"/>
      <c r="B123" s="541"/>
      <c r="C123" s="444"/>
      <c r="D123" s="445"/>
      <c r="E123" s="445"/>
      <c r="F123" s="445"/>
      <c r="G123" s="445"/>
      <c r="H123" s="445"/>
      <c r="I123" s="445"/>
      <c r="J123" s="446"/>
      <c r="K123" s="445"/>
      <c r="L123" s="446"/>
      <c r="M123" s="447"/>
      <c r="N123" s="448"/>
      <c r="O123" s="449"/>
      <c r="P123" s="449"/>
      <c r="Q123" s="450"/>
      <c r="R123" s="450"/>
      <c r="S123" s="451"/>
      <c r="T123" s="451"/>
      <c r="U123" s="452"/>
      <c r="V123" s="453"/>
      <c r="W123" s="447"/>
      <c r="X123" s="447"/>
      <c r="Y123" s="451"/>
      <c r="Z123" s="451"/>
      <c r="AA123" s="451"/>
      <c r="AB123" s="454"/>
      <c r="AC123" s="447"/>
      <c r="AD123" s="447"/>
      <c r="AE123" s="447"/>
      <c r="AF123" s="455"/>
      <c r="AG123" s="447"/>
      <c r="AH123" s="456"/>
      <c r="AI123" s="456"/>
      <c r="AJ123" s="456"/>
      <c r="AK123" s="456"/>
      <c r="AL123" s="456"/>
      <c r="AM123" s="456"/>
      <c r="AN123" s="456"/>
      <c r="AO123" s="456"/>
      <c r="AP123" s="456"/>
      <c r="AQ123" s="456"/>
      <c r="AR123" s="456"/>
      <c r="AS123" s="456"/>
      <c r="AT123" s="456"/>
      <c r="AU123" s="456"/>
      <c r="AV123" s="456"/>
      <c r="AW123" s="456"/>
      <c r="AX123" s="456"/>
      <c r="AY123" s="456"/>
      <c r="AZ123" s="456"/>
      <c r="BA123" s="456"/>
      <c r="BB123" s="456"/>
      <c r="BC123" s="456"/>
      <c r="BD123" s="456"/>
      <c r="BE123" s="456"/>
      <c r="BF123" s="456"/>
      <c r="BG123" s="456"/>
      <c r="BH123" s="432" t="s">
        <v>1023</v>
      </c>
      <c r="CF123" s="542"/>
      <c r="CG123" s="542"/>
      <c r="CH123" s="542"/>
      <c r="CI123" s="542"/>
      <c r="CJ123" s="542"/>
      <c r="CK123" s="542"/>
      <c r="CL123" s="542"/>
      <c r="CM123" s="542"/>
      <c r="CN123" s="542"/>
      <c r="CO123" s="542"/>
      <c r="CP123" s="542"/>
      <c r="CQ123" s="542"/>
      <c r="CR123" s="542"/>
      <c r="CS123" s="542"/>
      <c r="CT123" s="542"/>
      <c r="CU123" s="542"/>
      <c r="CV123" s="542"/>
      <c r="CW123" s="542"/>
      <c r="CX123" s="542"/>
      <c r="CY123" s="542"/>
      <c r="CZ123" s="542"/>
      <c r="DA123" s="542"/>
      <c r="DB123" s="542"/>
      <c r="DC123" s="542"/>
      <c r="DD123" s="542"/>
      <c r="DE123" s="542"/>
      <c r="DF123" s="542"/>
      <c r="DG123" s="542"/>
      <c r="DH123" s="542"/>
      <c r="DI123" s="543"/>
      <c r="DJ123" s="542"/>
      <c r="DK123" s="542"/>
      <c r="DL123" s="542"/>
      <c r="DM123" s="542"/>
      <c r="DN123" s="542"/>
      <c r="DO123" s="542"/>
      <c r="DP123" s="542"/>
      <c r="DQ123" s="542"/>
      <c r="DR123" s="542"/>
      <c r="DS123" s="542"/>
    </row>
    <row r="124" spans="1:123" ht="15" customHeight="1">
      <c r="A124" s="2360" t="s">
        <v>1024</v>
      </c>
      <c r="B124" s="566" t="s">
        <v>594</v>
      </c>
      <c r="C124" s="567" t="s">
        <v>853</v>
      </c>
      <c r="D124" s="568" t="s">
        <v>1025</v>
      </c>
      <c r="E124" s="714">
        <v>176</v>
      </c>
      <c r="F124" s="715">
        <v>0.86875000000000002</v>
      </c>
      <c r="G124" s="715">
        <v>7.2700000000000001E-2</v>
      </c>
      <c r="H124" s="716">
        <v>762.13070000000005</v>
      </c>
      <c r="I124" s="717">
        <v>283.38639999999998</v>
      </c>
      <c r="J124" s="573" t="s">
        <v>853</v>
      </c>
      <c r="K124" s="574" t="s">
        <v>1026</v>
      </c>
      <c r="L124" s="718" t="s">
        <v>35</v>
      </c>
      <c r="M124" s="719" t="s">
        <v>35</v>
      </c>
      <c r="N124" s="575">
        <v>2056.064108</v>
      </c>
      <c r="O124" s="576">
        <v>13.74</v>
      </c>
      <c r="P124" s="576">
        <v>149.63524200000001</v>
      </c>
      <c r="Q124" s="577" t="s">
        <v>35</v>
      </c>
      <c r="R124" s="486">
        <f>N124</f>
        <v>2056.064108</v>
      </c>
      <c r="S124" s="658" t="s">
        <v>841</v>
      </c>
      <c r="T124" s="659" t="s">
        <v>842</v>
      </c>
      <c r="U124" s="560"/>
      <c r="V124" s="2332" t="s">
        <v>843</v>
      </c>
      <c r="W124" s="487" t="s">
        <v>175</v>
      </c>
      <c r="X124" s="40" t="s">
        <v>1027</v>
      </c>
      <c r="Y124" s="681">
        <f>((60000*$R$125)+(0.78*$R$124)+$N$127+$T$131+$R$128)*(1+$T$133)</f>
        <v>586.23208939680001</v>
      </c>
      <c r="Z124" s="2388">
        <f>Y125-Y124</f>
        <v>81.420138676800093</v>
      </c>
      <c r="AA124" s="2390">
        <f>(0.81-0.78)*$P$124</f>
        <v>4.4890572600000045</v>
      </c>
      <c r="AB124" s="473"/>
      <c r="AC124" s="723"/>
      <c r="AD124" s="2330" t="s">
        <v>846</v>
      </c>
      <c r="AE124" s="1989"/>
      <c r="AF124" s="764" t="s">
        <v>175</v>
      </c>
      <c r="AG124" s="40" t="s">
        <v>1028</v>
      </c>
      <c r="AH124" s="681">
        <f>((60000*$R$125)+(0.8*$R$124)+$N$127+$T$131+$R$128)*(1+$T$133)</f>
        <v>640.5121818480003</v>
      </c>
      <c r="AI124" s="726">
        <v>504.99</v>
      </c>
      <c r="AJ124" s="726">
        <v>505</v>
      </c>
      <c r="AK124" s="726"/>
      <c r="AL124" s="726"/>
      <c r="AM124" s="765"/>
      <c r="AN124" s="726"/>
      <c r="AO124" s="726"/>
      <c r="AP124" s="726"/>
      <c r="AQ124" s="726"/>
      <c r="AR124" s="726"/>
      <c r="AS124" s="726"/>
      <c r="AT124" s="726"/>
      <c r="AU124" s="726">
        <v>511.79</v>
      </c>
      <c r="AV124" s="726"/>
      <c r="AW124" s="726"/>
      <c r="AX124" s="726"/>
      <c r="AY124" s="726"/>
      <c r="AZ124" s="726">
        <v>489.99</v>
      </c>
      <c r="BA124" s="726"/>
      <c r="BB124" s="726"/>
      <c r="BC124" s="726"/>
      <c r="BD124" s="726"/>
      <c r="BE124" s="726"/>
      <c r="BF124" s="726"/>
      <c r="BG124" s="766"/>
      <c r="BH124" s="767">
        <f t="shared" ref="BH124:BH133" si="1">AH124-AVERAGE(AI124:BG124)</f>
        <v>137.5696818480003</v>
      </c>
    </row>
    <row r="125" spans="1:123">
      <c r="A125" s="2337"/>
      <c r="B125" s="566" t="s">
        <v>1029</v>
      </c>
      <c r="C125" s="567" t="s">
        <v>853</v>
      </c>
      <c r="D125" s="568" t="s">
        <v>1030</v>
      </c>
      <c r="E125" s="714">
        <v>176</v>
      </c>
      <c r="F125" s="715">
        <v>73738.070000000007</v>
      </c>
      <c r="G125" s="715">
        <v>23783.26</v>
      </c>
      <c r="H125" s="716">
        <v>762.13070000000005</v>
      </c>
      <c r="I125" s="717">
        <v>283.38639999999998</v>
      </c>
      <c r="J125" s="573" t="s">
        <v>853</v>
      </c>
      <c r="K125" s="574" t="s">
        <v>987</v>
      </c>
      <c r="L125" s="718" t="s">
        <v>35</v>
      </c>
      <c r="M125" s="719" t="s">
        <v>35</v>
      </c>
      <c r="N125" s="768">
        <v>3.2469999999999999E-3</v>
      </c>
      <c r="O125" s="576">
        <v>6.88</v>
      </c>
      <c r="P125" s="576">
        <v>4.7189999999999998E-4</v>
      </c>
      <c r="Q125" s="577" t="s">
        <v>35</v>
      </c>
      <c r="R125" s="486">
        <f>N125</f>
        <v>3.2469999999999999E-3</v>
      </c>
      <c r="S125" s="487" t="s">
        <v>1013</v>
      </c>
      <c r="T125" s="769" t="s">
        <v>1014</v>
      </c>
      <c r="U125" s="770"/>
      <c r="V125" s="2333"/>
      <c r="W125" s="487" t="s">
        <v>174</v>
      </c>
      <c r="X125" s="40" t="s">
        <v>1031</v>
      </c>
      <c r="Y125" s="681">
        <f>((60000*$R$125)+(0.81*$R$124)+$N$127+$T$131+$R$128)*(1+$T$133)</f>
        <v>667.6522280736001</v>
      </c>
      <c r="Z125" s="2389"/>
      <c r="AA125" s="2391"/>
      <c r="AB125" s="473"/>
      <c r="AC125" s="740"/>
      <c r="AD125" s="741" t="s">
        <v>795</v>
      </c>
      <c r="AE125" s="584">
        <v>-0.23406723526865045</v>
      </c>
      <c r="AF125" s="771" t="s">
        <v>174</v>
      </c>
      <c r="AG125" s="40" t="s">
        <v>1032</v>
      </c>
      <c r="AH125" s="681">
        <f>((60000*$R$125)+(0.9*$R$124)+$N$127+$T$131+$R$128)*(1+$T$133)</f>
        <v>911.91264410400004</v>
      </c>
      <c r="AI125" s="726"/>
      <c r="AJ125" s="726"/>
      <c r="AK125" s="726"/>
      <c r="AL125" s="726"/>
      <c r="AM125" s="772">
        <v>914</v>
      </c>
      <c r="AN125" s="726"/>
      <c r="AO125" s="726">
        <v>976</v>
      </c>
      <c r="AP125" s="726"/>
      <c r="AQ125" s="726"/>
      <c r="AR125" s="726"/>
      <c r="AS125" s="726">
        <v>715</v>
      </c>
      <c r="AT125" s="726"/>
      <c r="AU125" s="726"/>
      <c r="AV125" s="726"/>
      <c r="AW125" s="726"/>
      <c r="AX125" s="726"/>
      <c r="AY125" s="726"/>
      <c r="AZ125" s="726"/>
      <c r="BA125" s="726">
        <v>791</v>
      </c>
      <c r="BB125" s="726"/>
      <c r="BC125" s="726"/>
      <c r="BD125" s="726"/>
      <c r="BE125" s="726"/>
      <c r="BF125" s="726"/>
      <c r="BG125" s="766"/>
      <c r="BH125" s="767">
        <f t="shared" si="1"/>
        <v>62.912644104000037</v>
      </c>
    </row>
    <row r="126" spans="1:123" ht="15" customHeight="1">
      <c r="A126" s="2337"/>
      <c r="B126" s="2273" t="s">
        <v>1033</v>
      </c>
      <c r="C126" s="2274" t="s">
        <v>862</v>
      </c>
      <c r="D126" s="568" t="s">
        <v>1034</v>
      </c>
      <c r="E126" s="714">
        <v>50</v>
      </c>
      <c r="F126" s="743" t="s">
        <v>35</v>
      </c>
      <c r="G126" s="743" t="s">
        <v>35</v>
      </c>
      <c r="H126" s="716">
        <v>1062.7</v>
      </c>
      <c r="I126" s="717">
        <v>175.0341</v>
      </c>
      <c r="J126" s="2395" t="s">
        <v>35</v>
      </c>
      <c r="K126" s="2394" t="s">
        <v>35</v>
      </c>
      <c r="L126" s="718" t="s">
        <v>35</v>
      </c>
      <c r="M126" s="719" t="s">
        <v>35</v>
      </c>
      <c r="N126" s="575">
        <v>319.964654</v>
      </c>
      <c r="O126" s="576">
        <v>11.83</v>
      </c>
      <c r="P126" s="576">
        <v>27.038250699999999</v>
      </c>
      <c r="Q126" s="486">
        <v>0.284090909</v>
      </c>
      <c r="R126" s="2396">
        <v>90.899049430000005</v>
      </c>
      <c r="S126" s="667" t="s">
        <v>858</v>
      </c>
      <c r="T126" s="499" t="s">
        <v>859</v>
      </c>
      <c r="U126" s="470"/>
      <c r="V126" s="2333"/>
      <c r="W126" s="487" t="s">
        <v>175</v>
      </c>
      <c r="X126" s="40" t="s">
        <v>1035</v>
      </c>
      <c r="Y126" s="681">
        <f>((90000*$R$125)+(0.78*$R$124)+$N$127+$T$131+$R$128)*(1+$T$133)</f>
        <v>714.81328939680009</v>
      </c>
      <c r="Z126" s="2388">
        <f>Y127-Y126</f>
        <v>325.68055470720003</v>
      </c>
      <c r="AA126" s="2390">
        <f>(0.9-0.78)*$P$124</f>
        <v>17.95622904</v>
      </c>
      <c r="AB126" s="473"/>
      <c r="AC126" s="740"/>
      <c r="AD126" s="741" t="s">
        <v>874</v>
      </c>
      <c r="AE126" s="584">
        <v>4.3018307798705371E-2</v>
      </c>
      <c r="AF126" s="771" t="s">
        <v>175</v>
      </c>
      <c r="AG126" s="40" t="s">
        <v>1036</v>
      </c>
      <c r="AH126" s="681">
        <f>((90000*$R$125)+(0.8*$R$124)+$N$127+$T$131+$R$128)*(1+$T$133)</f>
        <v>769.09338184800038</v>
      </c>
      <c r="AI126" s="726"/>
      <c r="AJ126" s="726"/>
      <c r="AK126" s="726">
        <v>726.18</v>
      </c>
      <c r="AL126" s="726"/>
      <c r="AM126" s="772">
        <v>741</v>
      </c>
      <c r="AN126" s="726"/>
      <c r="AO126" s="726"/>
      <c r="AP126" s="726">
        <v>867</v>
      </c>
      <c r="AQ126" s="726"/>
      <c r="AR126" s="726"/>
      <c r="AS126" s="726"/>
      <c r="AT126" s="726"/>
      <c r="AU126" s="726"/>
      <c r="AV126" s="726"/>
      <c r="AW126" s="726"/>
      <c r="AX126" s="726"/>
      <c r="AY126" s="726"/>
      <c r="AZ126" s="726"/>
      <c r="BA126" s="726"/>
      <c r="BB126" s="726">
        <v>669</v>
      </c>
      <c r="BC126" s="726"/>
      <c r="BD126" s="726"/>
      <c r="BE126" s="726"/>
      <c r="BF126" s="726"/>
      <c r="BG126" s="766"/>
      <c r="BH126" s="767">
        <f t="shared" si="1"/>
        <v>18.298381848000417</v>
      </c>
    </row>
    <row r="127" spans="1:123">
      <c r="A127" s="2337"/>
      <c r="B127" s="2273"/>
      <c r="C127" s="2274"/>
      <c r="D127" s="568" t="s">
        <v>1037</v>
      </c>
      <c r="E127" s="714">
        <v>126</v>
      </c>
      <c r="F127" s="743" t="s">
        <v>35</v>
      </c>
      <c r="G127" s="743" t="s">
        <v>35</v>
      </c>
      <c r="H127" s="716">
        <v>642.85709999999995</v>
      </c>
      <c r="I127" s="717">
        <v>223.48269999999999</v>
      </c>
      <c r="J127" s="2395"/>
      <c r="K127" s="2394"/>
      <c r="L127" s="718" t="s">
        <v>35</v>
      </c>
      <c r="M127" s="719" t="s">
        <v>35</v>
      </c>
      <c r="N127" s="575">
        <v>0</v>
      </c>
      <c r="O127" s="773" t="s">
        <v>847</v>
      </c>
      <c r="P127" s="484" t="s">
        <v>847</v>
      </c>
      <c r="Q127" s="486">
        <v>0.715909091</v>
      </c>
      <c r="R127" s="2285"/>
      <c r="S127" s="748" t="s">
        <v>1038</v>
      </c>
      <c r="T127" s="749" t="s">
        <v>1019</v>
      </c>
      <c r="U127" s="591"/>
      <c r="V127" s="2333"/>
      <c r="W127" s="487" t="s">
        <v>174</v>
      </c>
      <c r="X127" s="40" t="s">
        <v>1039</v>
      </c>
      <c r="Y127" s="681">
        <f>((90000*$R$125)+(0.9*$R$124)+$N$127+$T$131+$R$128)*(1+$T$133)</f>
        <v>1040.4938441040001</v>
      </c>
      <c r="Z127" s="2389"/>
      <c r="AA127" s="2391"/>
      <c r="AB127" s="473"/>
      <c r="AC127" s="740"/>
      <c r="AD127" s="741" t="s">
        <v>977</v>
      </c>
      <c r="AE127" s="584">
        <v>-0.47711339736436298</v>
      </c>
      <c r="AF127" s="771" t="s">
        <v>174</v>
      </c>
      <c r="AG127" s="40" t="s">
        <v>1040</v>
      </c>
      <c r="AH127" s="681">
        <f>((90000*$R$125)+(0.92*$R$124)+$N$127+$T$131+$R$128)*(1+$T$133)</f>
        <v>1094.7739365552004</v>
      </c>
      <c r="AI127" s="726"/>
      <c r="AJ127" s="726">
        <v>860</v>
      </c>
      <c r="AK127" s="726"/>
      <c r="AL127" s="726">
        <v>988.95</v>
      </c>
      <c r="AM127" s="772"/>
      <c r="AN127" s="726">
        <v>925.68</v>
      </c>
      <c r="AO127" s="726"/>
      <c r="AP127" s="726"/>
      <c r="AQ127" s="726"/>
      <c r="AR127" s="726"/>
      <c r="AS127" s="726"/>
      <c r="AT127" s="726"/>
      <c r="AU127" s="726"/>
      <c r="AV127" s="726">
        <v>1079.99</v>
      </c>
      <c r="AW127" s="726"/>
      <c r="AX127" s="726"/>
      <c r="AY127" s="726"/>
      <c r="AZ127" s="726"/>
      <c r="BA127" s="726"/>
      <c r="BB127" s="726"/>
      <c r="BC127" s="726"/>
      <c r="BD127" s="726"/>
      <c r="BE127" s="726"/>
      <c r="BF127" s="726"/>
      <c r="BG127" s="766"/>
      <c r="BH127" s="767">
        <f t="shared" si="1"/>
        <v>131.11893655520043</v>
      </c>
    </row>
    <row r="128" spans="1:123">
      <c r="A128" s="2337"/>
      <c r="B128" s="2273" t="s">
        <v>1041</v>
      </c>
      <c r="C128" s="2274" t="s">
        <v>862</v>
      </c>
      <c r="D128" s="568" t="s">
        <v>1042</v>
      </c>
      <c r="E128" s="714">
        <v>26</v>
      </c>
      <c r="F128" s="743" t="s">
        <v>35</v>
      </c>
      <c r="G128" s="743" t="s">
        <v>35</v>
      </c>
      <c r="H128" s="716">
        <v>769.84619999999995</v>
      </c>
      <c r="I128" s="717">
        <v>298.6857</v>
      </c>
      <c r="J128" s="718" t="s">
        <v>35</v>
      </c>
      <c r="K128" s="719" t="s">
        <v>35</v>
      </c>
      <c r="L128" s="718" t="s">
        <v>35</v>
      </c>
      <c r="M128" s="719" t="s">
        <v>35</v>
      </c>
      <c r="N128" s="575">
        <v>-12.283296999999999</v>
      </c>
      <c r="O128" s="576">
        <v>-0.36</v>
      </c>
      <c r="P128" s="576">
        <v>34.062633699999999</v>
      </c>
      <c r="Q128" s="774">
        <v>0</v>
      </c>
      <c r="R128" s="2387">
        <v>10.202227000000001</v>
      </c>
      <c r="S128" s="667" t="s">
        <v>868</v>
      </c>
      <c r="T128" s="637" t="s">
        <v>869</v>
      </c>
      <c r="U128" s="560"/>
      <c r="V128" s="2333"/>
      <c r="W128" s="487" t="s">
        <v>175</v>
      </c>
      <c r="X128" s="40" t="s">
        <v>1043</v>
      </c>
      <c r="Y128" s="681">
        <f>((120000*$R$125)+(0.78*$R$124)+$N$127+$T$131+$R$128)*(1+$T$133)</f>
        <v>843.39448939680028</v>
      </c>
      <c r="Z128" s="2388">
        <f>Y129-Y128</f>
        <v>379.96064715839998</v>
      </c>
      <c r="AA128" s="2390">
        <f>(0.92-0.78)*$P$124</f>
        <v>20.948933880000002</v>
      </c>
      <c r="AB128" s="473"/>
      <c r="AC128" s="740"/>
      <c r="AD128" s="754" t="s">
        <v>978</v>
      </c>
      <c r="AE128" s="775">
        <v>-6.4677970145692668E-2</v>
      </c>
      <c r="AF128" s="771" t="s">
        <v>175</v>
      </c>
      <c r="AG128" s="40" t="s">
        <v>1044</v>
      </c>
      <c r="AH128" s="681">
        <f>((120000*$R$125)+(0.8*$R$124)+$N$127+$T$131+$R$128)*(1+$T$133)</f>
        <v>897.67458184800046</v>
      </c>
      <c r="AI128" s="726">
        <v>774.99</v>
      </c>
      <c r="AJ128" s="726">
        <v>752</v>
      </c>
      <c r="AK128" s="726">
        <v>818.3</v>
      </c>
      <c r="AL128" s="726"/>
      <c r="AM128" s="772"/>
      <c r="AN128" s="726"/>
      <c r="AO128" s="726"/>
      <c r="AP128" s="726"/>
      <c r="AQ128" s="726"/>
      <c r="AR128" s="726"/>
      <c r="AS128" s="726"/>
      <c r="AT128" s="726"/>
      <c r="AU128" s="726"/>
      <c r="AV128" s="726"/>
      <c r="AW128" s="726"/>
      <c r="AX128" s="726"/>
      <c r="AY128" s="726"/>
      <c r="AZ128" s="726"/>
      <c r="BA128" s="726"/>
      <c r="BB128" s="726"/>
      <c r="BC128" s="726">
        <v>836</v>
      </c>
      <c r="BD128" s="726"/>
      <c r="BE128" s="726"/>
      <c r="BF128" s="726"/>
      <c r="BG128" s="766"/>
      <c r="BH128" s="767">
        <f t="shared" si="1"/>
        <v>102.35208184800047</v>
      </c>
    </row>
    <row r="129" spans="1:123">
      <c r="A129" s="2337"/>
      <c r="B129" s="2273"/>
      <c r="C129" s="2274"/>
      <c r="D129" s="568" t="s">
        <v>1045</v>
      </c>
      <c r="E129" s="714">
        <v>6</v>
      </c>
      <c r="F129" s="743" t="s">
        <v>35</v>
      </c>
      <c r="G129" s="743" t="s">
        <v>35</v>
      </c>
      <c r="H129" s="716">
        <v>676.16669999999999</v>
      </c>
      <c r="I129" s="717">
        <v>244.2944</v>
      </c>
      <c r="J129" s="718" t="s">
        <v>35</v>
      </c>
      <c r="K129" s="719" t="s">
        <v>35</v>
      </c>
      <c r="L129" s="718" t="s">
        <v>35</v>
      </c>
      <c r="M129" s="719" t="s">
        <v>35</v>
      </c>
      <c r="N129" s="575">
        <v>-171.264025</v>
      </c>
      <c r="O129" s="576">
        <v>-2.92</v>
      </c>
      <c r="P129" s="576">
        <v>58.705394200000001</v>
      </c>
      <c r="Q129" s="774">
        <v>1.46E-2</v>
      </c>
      <c r="R129" s="2387"/>
      <c r="S129" s="564">
        <v>176</v>
      </c>
      <c r="T129" s="488" t="s">
        <v>35</v>
      </c>
      <c r="U129" s="452"/>
      <c r="V129" s="2333"/>
      <c r="W129" s="487" t="s">
        <v>174</v>
      </c>
      <c r="X129" s="40" t="s">
        <v>1046</v>
      </c>
      <c r="Y129" s="681">
        <f>((120000*$R$125)+(0.92*$R$124)+$N$127+$T$131+$R$128)*(1+$T$133)</f>
        <v>1223.3551365552003</v>
      </c>
      <c r="Z129" s="2389"/>
      <c r="AA129" s="2391"/>
      <c r="AB129" s="473"/>
      <c r="AC129" s="525"/>
      <c r="AD129" s="520"/>
      <c r="AE129" s="521"/>
      <c r="AF129" s="771" t="s">
        <v>174</v>
      </c>
      <c r="AG129" s="40" t="s">
        <v>1047</v>
      </c>
      <c r="AH129" s="681">
        <f>((120000*$R$125)+(0.93*$R$124)+$N$127+$T$131+$R$128)*(1+$T$133)</f>
        <v>1250.4951827808004</v>
      </c>
      <c r="AI129" s="726"/>
      <c r="AJ129" s="726"/>
      <c r="AK129" s="726">
        <v>1671.67</v>
      </c>
      <c r="AL129" s="726"/>
      <c r="AM129" s="772"/>
      <c r="AN129" s="726"/>
      <c r="AO129" s="726"/>
      <c r="AP129" s="726"/>
      <c r="AQ129" s="726">
        <v>1502.55</v>
      </c>
      <c r="AR129" s="726"/>
      <c r="AS129" s="726"/>
      <c r="AT129" s="726"/>
      <c r="AU129" s="726"/>
      <c r="AV129" s="726"/>
      <c r="AW129" s="726">
        <v>1837</v>
      </c>
      <c r="AX129" s="726"/>
      <c r="AY129" s="726"/>
      <c r="AZ129" s="726"/>
      <c r="BA129" s="726"/>
      <c r="BB129" s="726"/>
      <c r="BC129" s="726"/>
      <c r="BD129" s="726">
        <v>1969.54</v>
      </c>
      <c r="BE129" s="726"/>
      <c r="BF129" s="726"/>
      <c r="BG129" s="766"/>
      <c r="BH129" s="767">
        <f t="shared" si="1"/>
        <v>-494.69481721919965</v>
      </c>
    </row>
    <row r="130" spans="1:123">
      <c r="A130" s="2337"/>
      <c r="B130" s="2273"/>
      <c r="C130" s="2274"/>
      <c r="D130" s="568" t="s">
        <v>1048</v>
      </c>
      <c r="E130" s="714">
        <v>86</v>
      </c>
      <c r="F130" s="743" t="s">
        <v>35</v>
      </c>
      <c r="G130" s="743" t="s">
        <v>35</v>
      </c>
      <c r="H130" s="716">
        <v>636.5</v>
      </c>
      <c r="I130" s="717">
        <v>236.80779999999999</v>
      </c>
      <c r="J130" s="718" t="s">
        <v>35</v>
      </c>
      <c r="K130" s="719" t="s">
        <v>35</v>
      </c>
      <c r="L130" s="718" t="s">
        <v>35</v>
      </c>
      <c r="M130" s="719" t="s">
        <v>35</v>
      </c>
      <c r="N130" s="575">
        <v>36.541184000000001</v>
      </c>
      <c r="O130" s="576">
        <v>1.3</v>
      </c>
      <c r="P130" s="576">
        <v>28.2117793</v>
      </c>
      <c r="Q130" s="774">
        <v>6.0499999999999998E-2</v>
      </c>
      <c r="R130" s="2387"/>
      <c r="S130" s="667" t="s">
        <v>876</v>
      </c>
      <c r="T130" s="637" t="s">
        <v>877</v>
      </c>
      <c r="U130" s="560"/>
      <c r="V130" s="2333"/>
      <c r="W130" s="487" t="s">
        <v>175</v>
      </c>
      <c r="X130" s="40" t="s">
        <v>1035</v>
      </c>
      <c r="Y130" s="681">
        <f>((90000*$R$125)+(0.78*$R$124)+$N$127+$T$131+$R$128)*(1+$T$133)</f>
        <v>714.81328939680009</v>
      </c>
      <c r="Z130" s="2388">
        <f>Y131-Y130</f>
        <v>856.59408288959992</v>
      </c>
      <c r="AA130" s="2390">
        <f>(0.94-0.78)*$P$124</f>
        <v>23.94163871999999</v>
      </c>
      <c r="AB130" s="473"/>
      <c r="AC130" s="525"/>
      <c r="AD130" s="524"/>
      <c r="AE130" s="525"/>
      <c r="AF130" s="771" t="s">
        <v>175</v>
      </c>
      <c r="AG130" s="40" t="s">
        <v>1049</v>
      </c>
      <c r="AH130" s="681">
        <f>((90000*$R$125)+(0.8*$R$124)+$N$127+$T$131+$R$128)*(1+$T$133)</f>
        <v>769.09338184800038</v>
      </c>
      <c r="AI130" s="726"/>
      <c r="AJ130" s="726"/>
      <c r="AK130" s="726">
        <v>656</v>
      </c>
      <c r="AL130" s="726"/>
      <c r="AM130" s="772"/>
      <c r="AN130" s="726"/>
      <c r="AO130" s="726">
        <v>760</v>
      </c>
      <c r="AP130" s="726"/>
      <c r="AQ130" s="726"/>
      <c r="AR130" s="726">
        <v>697</v>
      </c>
      <c r="AS130" s="726"/>
      <c r="AT130" s="726">
        <v>675</v>
      </c>
      <c r="AU130" s="726"/>
      <c r="AV130" s="726"/>
      <c r="AW130" s="726"/>
      <c r="AX130" s="726"/>
      <c r="AY130" s="726"/>
      <c r="AZ130" s="726"/>
      <c r="BA130" s="726"/>
      <c r="BB130" s="726"/>
      <c r="BC130" s="726"/>
      <c r="BD130" s="726"/>
      <c r="BE130" s="726"/>
      <c r="BF130" s="726"/>
      <c r="BG130" s="766"/>
      <c r="BH130" s="767">
        <f t="shared" si="1"/>
        <v>72.093381848000377</v>
      </c>
    </row>
    <row r="131" spans="1:123">
      <c r="A131" s="2337"/>
      <c r="B131" s="2273"/>
      <c r="C131" s="2274"/>
      <c r="D131" s="568" t="s">
        <v>1050</v>
      </c>
      <c r="E131" s="714">
        <v>58</v>
      </c>
      <c r="F131" s="743" t="s">
        <v>35</v>
      </c>
      <c r="G131" s="743" t="s">
        <v>35</v>
      </c>
      <c r="H131" s="716">
        <v>953.84479999999996</v>
      </c>
      <c r="I131" s="717">
        <v>237.80940000000001</v>
      </c>
      <c r="J131" s="718" t="s">
        <v>35</v>
      </c>
      <c r="K131" s="719" t="s">
        <v>35</v>
      </c>
      <c r="L131" s="718" t="s">
        <v>35</v>
      </c>
      <c r="M131" s="719" t="s">
        <v>35</v>
      </c>
      <c r="N131" s="575">
        <v>0</v>
      </c>
      <c r="O131" s="773" t="s">
        <v>847</v>
      </c>
      <c r="P131" s="776" t="s">
        <v>847</v>
      </c>
      <c r="Q131" s="774">
        <v>0</v>
      </c>
      <c r="R131" s="2387"/>
      <c r="S131" s="598">
        <v>0.79426799999999997</v>
      </c>
      <c r="T131" s="599">
        <v>-1364.6370119999999</v>
      </c>
      <c r="U131" s="600"/>
      <c r="V131" s="2333"/>
      <c r="W131" s="487" t="s">
        <v>174</v>
      </c>
      <c r="X131" s="40" t="s">
        <v>1051</v>
      </c>
      <c r="Y131" s="681">
        <f>((90000*$R$125)+(0.94*$R$124)+$N$126+$T$131+$R$128)*(1+$T$133)</f>
        <v>1571.4073722864</v>
      </c>
      <c r="Z131" s="2389"/>
      <c r="AA131" s="2391"/>
      <c r="AB131" s="473"/>
      <c r="AC131" s="525"/>
      <c r="AD131" s="524"/>
      <c r="AE131" s="525"/>
      <c r="AF131" s="771" t="s">
        <v>174</v>
      </c>
      <c r="AG131" s="40" t="s">
        <v>1052</v>
      </c>
      <c r="AH131" s="681">
        <f>((90000*$R$125)+(0.95*$R$124)+$N$126+$T$131+$R$128)*(1+$T$133)</f>
        <v>1598.5474185120001</v>
      </c>
      <c r="AI131" s="726">
        <v>1527.99</v>
      </c>
      <c r="AJ131" s="726">
        <v>1305</v>
      </c>
      <c r="AK131" s="726"/>
      <c r="AL131" s="726"/>
      <c r="AM131" s="772"/>
      <c r="AN131" s="726"/>
      <c r="AO131" s="726"/>
      <c r="AP131" s="726"/>
      <c r="AQ131" s="726"/>
      <c r="AR131" s="726"/>
      <c r="AS131" s="726"/>
      <c r="AT131" s="726"/>
      <c r="AU131" s="726"/>
      <c r="AV131" s="726"/>
      <c r="AW131" s="726"/>
      <c r="AX131" s="726">
        <v>1509</v>
      </c>
      <c r="AY131" s="726"/>
      <c r="AZ131" s="726"/>
      <c r="BA131" s="726"/>
      <c r="BB131" s="726"/>
      <c r="BC131" s="726"/>
      <c r="BD131" s="726"/>
      <c r="BE131" s="726">
        <v>1228</v>
      </c>
      <c r="BF131" s="726"/>
      <c r="BG131" s="766"/>
      <c r="BH131" s="767">
        <f t="shared" si="1"/>
        <v>206.0499185120002</v>
      </c>
    </row>
    <row r="132" spans="1:123" ht="15" customHeight="1">
      <c r="A132" s="2337"/>
      <c r="B132" s="2307" t="s">
        <v>1021</v>
      </c>
      <c r="C132" s="522"/>
      <c r="D132" s="521"/>
      <c r="E132" s="521"/>
      <c r="F132" s="521"/>
      <c r="G132" s="521"/>
      <c r="H132" s="521"/>
      <c r="I132" s="521"/>
      <c r="J132" s="750"/>
      <c r="K132" s="521"/>
      <c r="L132" s="750"/>
      <c r="M132" s="521"/>
      <c r="N132" s="751"/>
      <c r="O132" s="752"/>
      <c r="P132" s="752"/>
      <c r="Q132" s="753"/>
      <c r="R132" s="753"/>
      <c r="S132" s="667" t="s">
        <v>883</v>
      </c>
      <c r="T132" s="499" t="s">
        <v>884</v>
      </c>
      <c r="U132" s="470"/>
      <c r="V132" s="2333"/>
      <c r="W132" s="487" t="s">
        <v>175</v>
      </c>
      <c r="X132" s="40" t="s">
        <v>1053</v>
      </c>
      <c r="Y132" s="681">
        <f>((100000*$R$125)+(0.78*$R$124)+$N$127+$T$131+$R$128)*(1+$T$133)</f>
        <v>757.67368939680011</v>
      </c>
      <c r="Z132" s="2388">
        <f>Y133-Y132</f>
        <v>910.87417534079975</v>
      </c>
      <c r="AA132" s="2390">
        <f>(0.96-0.78)*$P$124</f>
        <v>26.934343559999991</v>
      </c>
      <c r="AB132" s="473"/>
      <c r="AC132" s="525"/>
      <c r="AD132" s="524"/>
      <c r="AE132" s="525"/>
      <c r="AF132" s="771" t="s">
        <v>175</v>
      </c>
      <c r="AG132" s="40" t="s">
        <v>1054</v>
      </c>
      <c r="AH132" s="681">
        <f>((100000*$R$125)+(0.8*$R$124)+$N$127+$T$131+$R$128)*(1+$T$133)</f>
        <v>811.9537818480004</v>
      </c>
      <c r="AI132" s="726">
        <v>672.99</v>
      </c>
      <c r="AJ132" s="726"/>
      <c r="AK132" s="726"/>
      <c r="AL132" s="726">
        <v>789.95</v>
      </c>
      <c r="AM132" s="772">
        <v>724</v>
      </c>
      <c r="AN132" s="726"/>
      <c r="AO132" s="726"/>
      <c r="AP132" s="726"/>
      <c r="AQ132" s="726"/>
      <c r="AR132" s="726"/>
      <c r="AS132" s="726"/>
      <c r="AT132" s="726"/>
      <c r="AU132" s="726"/>
      <c r="AV132" s="726"/>
      <c r="AW132" s="726"/>
      <c r="AX132" s="726"/>
      <c r="AY132" s="726"/>
      <c r="AZ132" s="726"/>
      <c r="BA132" s="726"/>
      <c r="BB132" s="726"/>
      <c r="BC132" s="726"/>
      <c r="BD132" s="726"/>
      <c r="BE132" s="726"/>
      <c r="BF132" s="726">
        <v>695</v>
      </c>
      <c r="BG132" s="766"/>
      <c r="BH132" s="767">
        <f t="shared" si="1"/>
        <v>91.46878184800039</v>
      </c>
    </row>
    <row r="133" spans="1:123">
      <c r="A133" s="2337"/>
      <c r="B133" s="2308"/>
      <c r="C133" s="515"/>
      <c r="D133" s="525"/>
      <c r="E133" s="525"/>
      <c r="F133" s="525"/>
      <c r="G133" s="525"/>
      <c r="H133" s="525"/>
      <c r="I133" s="525"/>
      <c r="J133" s="757"/>
      <c r="K133" s="525"/>
      <c r="L133" s="757"/>
      <c r="M133" s="525"/>
      <c r="N133" s="758"/>
      <c r="O133" s="759"/>
      <c r="P133" s="759"/>
      <c r="Q133" s="605"/>
      <c r="R133" s="605"/>
      <c r="S133" s="777">
        <v>94.48</v>
      </c>
      <c r="T133" s="778">
        <v>0.32</v>
      </c>
      <c r="U133" s="603"/>
      <c r="V133" s="2334"/>
      <c r="W133" s="487" t="s">
        <v>174</v>
      </c>
      <c r="X133" s="40" t="s">
        <v>1055</v>
      </c>
      <c r="Y133" s="681">
        <f>((100000*$R$125)+(0.96*$R$124)+$N$126+$T$131+$R$128)*(1+$T$133)</f>
        <v>1668.5478647375999</v>
      </c>
      <c r="Z133" s="2389"/>
      <c r="AA133" s="2391"/>
      <c r="AB133" s="473"/>
      <c r="AC133" s="525"/>
      <c r="AD133" s="524"/>
      <c r="AE133" s="525"/>
      <c r="AF133" s="779" t="s">
        <v>174</v>
      </c>
      <c r="AG133" s="40" t="s">
        <v>1056</v>
      </c>
      <c r="AH133" s="681">
        <f>((100000*$R$125)+(0.96*$R$124)+$N$126+$T$131+$R$128)*(1+$T$133)</f>
        <v>1668.5478647375999</v>
      </c>
      <c r="AI133" s="726"/>
      <c r="AJ133" s="726">
        <v>2154.67</v>
      </c>
      <c r="AK133" s="726"/>
      <c r="AL133" s="726"/>
      <c r="AM133" s="772"/>
      <c r="AN133" s="726">
        <v>2098.15</v>
      </c>
      <c r="AO133" s="726"/>
      <c r="AP133" s="726"/>
      <c r="AQ133" s="726"/>
      <c r="AR133" s="726"/>
      <c r="AS133" s="726"/>
      <c r="AT133" s="726"/>
      <c r="AU133" s="726"/>
      <c r="AV133" s="726"/>
      <c r="AW133" s="726"/>
      <c r="AX133" s="726"/>
      <c r="AY133" s="726">
        <v>2529</v>
      </c>
      <c r="AZ133" s="726"/>
      <c r="BA133" s="726"/>
      <c r="BB133" s="726"/>
      <c r="BC133" s="726"/>
      <c r="BD133" s="726"/>
      <c r="BE133" s="726"/>
      <c r="BF133" s="726"/>
      <c r="BG133" s="766">
        <v>2699</v>
      </c>
      <c r="BH133" s="767">
        <f t="shared" si="1"/>
        <v>-701.65713526240006</v>
      </c>
    </row>
    <row r="134" spans="1:123" ht="18.600000000000001" thickBot="1">
      <c r="A134" s="780"/>
      <c r="B134" s="2331"/>
      <c r="C134" s="515"/>
      <c r="D134" s="525"/>
      <c r="E134" s="525"/>
      <c r="F134" s="525"/>
      <c r="G134" s="525"/>
      <c r="H134" s="525"/>
      <c r="I134" s="525"/>
      <c r="J134" s="757"/>
      <c r="K134" s="525"/>
      <c r="L134" s="757"/>
      <c r="M134" s="525"/>
      <c r="N134" s="758"/>
      <c r="O134" s="759"/>
      <c r="P134" s="759"/>
      <c r="Q134" s="605"/>
      <c r="R134" s="605"/>
      <c r="S134" s="781"/>
      <c r="T134" s="782"/>
      <c r="U134" s="603"/>
      <c r="V134" s="518"/>
      <c r="W134" s="515"/>
      <c r="X134" s="476"/>
      <c r="Y134" s="477"/>
      <c r="Z134" s="783"/>
      <c r="AA134" s="783"/>
      <c r="AB134" s="473"/>
      <c r="AC134" s="675"/>
      <c r="AD134" s="675"/>
      <c r="AE134" s="784"/>
      <c r="AF134" s="785"/>
      <c r="AG134" s="476"/>
      <c r="AH134" s="477"/>
      <c r="AI134" s="663"/>
      <c r="AJ134" s="663"/>
      <c r="AK134" s="663"/>
      <c r="AL134" s="663"/>
      <c r="AM134" s="663"/>
      <c r="AN134" s="663"/>
      <c r="AO134" s="663"/>
      <c r="AP134" s="663"/>
      <c r="AQ134" s="663"/>
      <c r="AR134" s="663"/>
      <c r="AS134" s="663"/>
      <c r="AT134" s="663"/>
      <c r="AU134" s="663"/>
      <c r="AV134" s="663"/>
      <c r="AW134" s="663"/>
      <c r="AX134" s="663"/>
      <c r="AY134" s="663"/>
      <c r="AZ134" s="663"/>
      <c r="BA134" s="663"/>
      <c r="BB134" s="663"/>
      <c r="BC134" s="663"/>
      <c r="BD134" s="663"/>
      <c r="BE134" s="663"/>
      <c r="BF134" s="663"/>
      <c r="BG134" s="663"/>
      <c r="BH134" s="767"/>
    </row>
    <row r="135" spans="1:123" s="626" customFormat="1" ht="9" customHeight="1" thickBot="1">
      <c r="A135" s="540"/>
      <c r="B135" s="541"/>
      <c r="C135" s="444"/>
      <c r="D135" s="445"/>
      <c r="E135" s="444"/>
      <c r="F135" s="444"/>
      <c r="G135" s="444"/>
      <c r="H135" s="444"/>
      <c r="I135" s="444"/>
      <c r="J135" s="446"/>
      <c r="K135" s="445"/>
      <c r="L135" s="446"/>
      <c r="M135" s="447"/>
      <c r="N135" s="448"/>
      <c r="O135" s="449"/>
      <c r="P135" s="449"/>
      <c r="Q135" s="450"/>
      <c r="R135" s="450"/>
      <c r="S135" s="451"/>
      <c r="T135" s="451"/>
      <c r="U135" s="452"/>
      <c r="V135" s="453"/>
      <c r="W135" s="447"/>
      <c r="X135" s="447"/>
      <c r="Y135" s="451"/>
      <c r="Z135" s="451"/>
      <c r="AA135" s="451"/>
      <c r="AB135" s="454"/>
      <c r="AC135" s="447"/>
      <c r="AD135" s="447"/>
      <c r="AE135" s="447"/>
      <c r="AF135" s="455"/>
      <c r="AG135" s="447"/>
      <c r="AH135" s="653"/>
      <c r="AI135" s="653"/>
      <c r="AJ135" s="653"/>
      <c r="AK135" s="653"/>
      <c r="AL135" s="653"/>
      <c r="AM135" s="456"/>
      <c r="AN135" s="456"/>
      <c r="AO135" s="456"/>
      <c r="AP135" s="456"/>
      <c r="AQ135" s="456"/>
      <c r="AR135" s="456"/>
      <c r="AS135" s="456"/>
      <c r="AT135" s="456"/>
      <c r="AU135" s="456"/>
      <c r="AV135" s="456"/>
      <c r="AW135" s="456"/>
      <c r="AX135" s="456"/>
      <c r="AY135" s="456"/>
      <c r="AZ135" s="456"/>
      <c r="BA135" s="456"/>
      <c r="BB135" s="456"/>
      <c r="BC135" s="456"/>
      <c r="BD135" s="456"/>
      <c r="BE135" s="456"/>
      <c r="BF135" s="456"/>
      <c r="BG135" s="456"/>
      <c r="BH135" s="432"/>
      <c r="CF135" s="542"/>
      <c r="CG135" s="542"/>
      <c r="CH135" s="542"/>
      <c r="CI135" s="542"/>
      <c r="CJ135" s="542"/>
      <c r="CK135" s="542"/>
      <c r="CL135" s="542"/>
      <c r="CM135" s="542"/>
      <c r="CN135" s="542"/>
      <c r="CO135" s="542"/>
      <c r="CP135" s="542"/>
      <c r="CQ135" s="542"/>
      <c r="CR135" s="542"/>
      <c r="CS135" s="542"/>
      <c r="CT135" s="542"/>
      <c r="CU135" s="542"/>
      <c r="CV135" s="542"/>
      <c r="CW135" s="542"/>
      <c r="CX135" s="542"/>
      <c r="CY135" s="542"/>
      <c r="CZ135" s="542"/>
      <c r="DA135" s="542"/>
      <c r="DB135" s="542"/>
      <c r="DC135" s="542"/>
      <c r="DD135" s="542"/>
      <c r="DE135" s="542"/>
      <c r="DF135" s="542"/>
      <c r="DG135" s="542"/>
      <c r="DH135" s="542"/>
      <c r="DI135" s="543"/>
      <c r="DJ135" s="542"/>
      <c r="DK135" s="542"/>
      <c r="DL135" s="542"/>
      <c r="DM135" s="542"/>
      <c r="DN135" s="542"/>
      <c r="DO135" s="542"/>
      <c r="DP135" s="542"/>
      <c r="DQ135" s="542"/>
      <c r="DR135" s="542"/>
      <c r="DS135" s="542"/>
    </row>
    <row r="136" spans="1:123" s="806" customFormat="1" ht="28.8">
      <c r="A136" s="2337" t="s">
        <v>1057</v>
      </c>
      <c r="B136" s="786" t="s">
        <v>542</v>
      </c>
      <c r="C136" s="787" t="s">
        <v>853</v>
      </c>
      <c r="D136" s="788" t="s">
        <v>1058</v>
      </c>
      <c r="E136" s="788">
        <v>78</v>
      </c>
      <c r="F136" s="788">
        <v>37376.92</v>
      </c>
      <c r="G136" s="788">
        <v>12492.23</v>
      </c>
      <c r="H136" s="789">
        <v>2261.98</v>
      </c>
      <c r="I136" s="790">
        <v>1388.58</v>
      </c>
      <c r="J136" s="791" t="s">
        <v>855</v>
      </c>
      <c r="K136" s="792" t="s">
        <v>1059</v>
      </c>
      <c r="L136" s="793" t="s">
        <v>35</v>
      </c>
      <c r="M136" s="689" t="s">
        <v>35</v>
      </c>
      <c r="N136" s="794">
        <v>4.1288999999999999E-2</v>
      </c>
      <c r="O136" s="795">
        <v>7.37</v>
      </c>
      <c r="P136" s="795">
        <v>5.6033999999999997E-3</v>
      </c>
      <c r="Q136" s="796" t="s">
        <v>35</v>
      </c>
      <c r="R136" s="797">
        <f>N136</f>
        <v>4.1288999999999999E-2</v>
      </c>
      <c r="S136" s="678" t="s">
        <v>841</v>
      </c>
      <c r="T136" s="559" t="s">
        <v>842</v>
      </c>
      <c r="U136" s="560"/>
      <c r="V136" s="2332" t="s">
        <v>843</v>
      </c>
      <c r="W136" s="798" t="s">
        <v>175</v>
      </c>
      <c r="X136" s="798" t="s">
        <v>1060</v>
      </c>
      <c r="Y136" s="690">
        <f>((13*$R$137)+(36000*$R$136)+$R$138+$T$143)*1.2</f>
        <v>1784.6171814540007</v>
      </c>
      <c r="Z136" s="799" t="s">
        <v>918</v>
      </c>
      <c r="AA136" s="800" t="s">
        <v>918</v>
      </c>
      <c r="AB136" s="801"/>
      <c r="AC136" s="802"/>
      <c r="AD136" s="708"/>
      <c r="AE136" s="802"/>
      <c r="AF136" s="803" t="s">
        <v>175</v>
      </c>
      <c r="AG136" s="804" t="s">
        <v>1061</v>
      </c>
      <c r="AH136" s="695">
        <f>((12.5*$R$137)+(36000*$R$136)+$R$138+$T$143)*1.2</f>
        <v>1510.4721042540011</v>
      </c>
      <c r="AI136" s="695">
        <v>2259</v>
      </c>
      <c r="AJ136" s="695">
        <f>AVERAGE(1734,1812)</f>
        <v>1773</v>
      </c>
      <c r="AK136" s="489"/>
      <c r="AL136" s="489"/>
      <c r="AM136" s="783"/>
      <c r="AN136" s="783"/>
      <c r="AO136" s="783"/>
      <c r="AP136" s="783"/>
      <c r="AQ136" s="783"/>
      <c r="AR136" s="783"/>
      <c r="AS136" s="783"/>
      <c r="AT136" s="783"/>
      <c r="AU136" s="783"/>
      <c r="AV136" s="783"/>
      <c r="AW136" s="783"/>
      <c r="AX136" s="783"/>
      <c r="AY136" s="783"/>
      <c r="AZ136" s="783"/>
      <c r="BA136" s="783"/>
      <c r="BB136" s="783"/>
      <c r="BC136" s="783"/>
      <c r="BD136" s="783"/>
      <c r="BE136" s="783"/>
      <c r="BF136" s="783"/>
      <c r="BG136" s="783"/>
      <c r="BH136" s="805"/>
      <c r="CF136" s="807"/>
      <c r="CG136" s="807"/>
      <c r="CH136" s="807"/>
      <c r="CI136" s="807"/>
      <c r="CJ136" s="807"/>
      <c r="CK136" s="807"/>
      <c r="CL136" s="807"/>
      <c r="CM136" s="807"/>
      <c r="CN136" s="807"/>
      <c r="CO136" s="807"/>
      <c r="CP136" s="807"/>
      <c r="CQ136" s="807"/>
      <c r="CR136" s="807"/>
      <c r="CS136" s="807"/>
      <c r="CT136" s="807"/>
      <c r="CU136" s="807"/>
      <c r="CV136" s="807"/>
      <c r="CW136" s="807"/>
      <c r="CX136" s="807"/>
      <c r="CY136" s="807"/>
      <c r="CZ136" s="807"/>
      <c r="DA136" s="807"/>
      <c r="DB136" s="807"/>
      <c r="DC136" s="807"/>
      <c r="DD136" s="807"/>
      <c r="DE136" s="807"/>
      <c r="DF136" s="807"/>
      <c r="DG136" s="807"/>
      <c r="DH136" s="807"/>
      <c r="DI136" s="808"/>
      <c r="DJ136" s="807"/>
      <c r="DK136" s="807"/>
      <c r="DL136" s="807"/>
      <c r="DM136" s="807"/>
      <c r="DN136" s="807"/>
      <c r="DO136" s="807"/>
      <c r="DP136" s="807"/>
      <c r="DQ136" s="807"/>
      <c r="DR136" s="807"/>
      <c r="DS136" s="807"/>
    </row>
    <row r="137" spans="1:123">
      <c r="A137" s="2337"/>
      <c r="B137" s="566" t="s">
        <v>204</v>
      </c>
      <c r="C137" s="567" t="s">
        <v>853</v>
      </c>
      <c r="D137" s="809" t="s">
        <v>1062</v>
      </c>
      <c r="E137" s="809">
        <v>78</v>
      </c>
      <c r="F137" s="809">
        <v>14.614100000000001</v>
      </c>
      <c r="G137" s="809">
        <v>2.0272480000000002</v>
      </c>
      <c r="H137" s="549">
        <v>2261.98</v>
      </c>
      <c r="I137" s="550">
        <v>1388.58</v>
      </c>
      <c r="J137" s="810" t="s">
        <v>853</v>
      </c>
      <c r="K137" s="811" t="s">
        <v>1063</v>
      </c>
      <c r="L137" s="571" t="s">
        <v>35</v>
      </c>
      <c r="M137" s="572" t="s">
        <v>35</v>
      </c>
      <c r="N137" s="812">
        <v>456.90846199999999</v>
      </c>
      <c r="O137" s="594">
        <v>9.5399999999999991</v>
      </c>
      <c r="P137" s="813">
        <v>47.879942</v>
      </c>
      <c r="Q137" s="577" t="s">
        <v>35</v>
      </c>
      <c r="R137" s="486">
        <f>N137</f>
        <v>456.90846199999999</v>
      </c>
      <c r="S137" s="665" t="s">
        <v>1064</v>
      </c>
      <c r="T137" s="500" t="s">
        <v>1065</v>
      </c>
      <c r="U137" s="591"/>
      <c r="V137" s="2333"/>
      <c r="W137" s="92" t="s">
        <v>174</v>
      </c>
      <c r="X137" s="92" t="s">
        <v>1060</v>
      </c>
      <c r="Y137" s="563">
        <f>((13*$R$137)+(36000*$R$136)+$R$138+$T$143)*1.2</f>
        <v>1784.6171814540007</v>
      </c>
      <c r="Z137" s="563">
        <f>Y137-Y136</f>
        <v>0</v>
      </c>
      <c r="AA137" s="581">
        <f>(13-13)*$P$137</f>
        <v>0</v>
      </c>
      <c r="AB137" s="582"/>
      <c r="AC137" s="525"/>
      <c r="AD137" s="524"/>
      <c r="AE137" s="525"/>
      <c r="AF137" s="495" t="s">
        <v>175</v>
      </c>
      <c r="AG137" s="798" t="s">
        <v>1060</v>
      </c>
      <c r="AH137" s="814">
        <f>Y137</f>
        <v>1784.6171814540007</v>
      </c>
      <c r="AI137" s="660"/>
      <c r="AJ137" s="660"/>
      <c r="AK137" s="695">
        <f>796*3</f>
        <v>2388</v>
      </c>
      <c r="AL137" s="660"/>
      <c r="AM137" s="477"/>
      <c r="AN137" s="685"/>
      <c r="AO137" s="477"/>
      <c r="AP137" s="477"/>
      <c r="AQ137" s="477"/>
      <c r="AR137" s="477"/>
      <c r="AS137" s="477"/>
      <c r="AT137" s="477"/>
      <c r="AU137" s="477"/>
      <c r="AV137" s="477"/>
      <c r="AW137" s="477"/>
      <c r="AX137" s="477"/>
      <c r="AY137" s="477"/>
      <c r="AZ137" s="477"/>
      <c r="BA137" s="477"/>
      <c r="BB137" s="477"/>
      <c r="BC137" s="477"/>
      <c r="BD137" s="477"/>
      <c r="BE137" s="477"/>
      <c r="BF137" s="477"/>
      <c r="BG137" s="477"/>
      <c r="BH137" s="815"/>
    </row>
    <row r="138" spans="1:123">
      <c r="A138" s="2337"/>
      <c r="B138" s="2273" t="s">
        <v>547</v>
      </c>
      <c r="C138" s="2274" t="s">
        <v>862</v>
      </c>
      <c r="D138" s="809" t="s">
        <v>1066</v>
      </c>
      <c r="E138" s="809">
        <v>20</v>
      </c>
      <c r="F138" s="585" t="s">
        <v>35</v>
      </c>
      <c r="G138" s="585" t="s">
        <v>35</v>
      </c>
      <c r="H138" s="549">
        <v>2860.58</v>
      </c>
      <c r="I138" s="550">
        <v>1463.6</v>
      </c>
      <c r="J138" s="571" t="s">
        <v>35</v>
      </c>
      <c r="K138" s="572" t="s">
        <v>35</v>
      </c>
      <c r="L138" s="571" t="s">
        <v>35</v>
      </c>
      <c r="M138" s="572" t="s">
        <v>35</v>
      </c>
      <c r="N138" s="812">
        <v>1558.7372829999999</v>
      </c>
      <c r="O138" s="594">
        <v>8.09</v>
      </c>
      <c r="P138" s="813">
        <v>192.6679724</v>
      </c>
      <c r="Q138" s="486">
        <v>0.31900000000000001</v>
      </c>
      <c r="R138" s="2285">
        <f>SUMPRODUCT(Q138:Q141,N138:N141)</f>
        <v>533.05317054499994</v>
      </c>
      <c r="S138" s="667" t="s">
        <v>858</v>
      </c>
      <c r="T138" s="499" t="s">
        <v>859</v>
      </c>
      <c r="U138" s="470"/>
      <c r="V138" s="2333"/>
      <c r="W138" s="92" t="s">
        <v>174</v>
      </c>
      <c r="X138" s="92" t="s">
        <v>1067</v>
      </c>
      <c r="Y138" s="563">
        <f>((14*$R$137)+(36000*$R$136)+$R$138+$T$143)*1.2</f>
        <v>2332.907335853999</v>
      </c>
      <c r="Z138" s="563">
        <f>Y138-Y136</f>
        <v>548.2901543999983</v>
      </c>
      <c r="AA138" s="581">
        <f>(14-13)*$P$137</f>
        <v>47.879942</v>
      </c>
      <c r="AB138" s="582"/>
      <c r="AC138" s="525"/>
      <c r="AD138" s="524"/>
      <c r="AE138" s="525"/>
      <c r="AF138" s="573" t="s">
        <v>174</v>
      </c>
      <c r="AG138" s="92" t="s">
        <v>1067</v>
      </c>
      <c r="AH138" s="660">
        <f>Y138</f>
        <v>2332.907335853999</v>
      </c>
      <c r="AI138" s="660"/>
      <c r="AJ138" s="660"/>
      <c r="AK138" s="660">
        <f>933*3</f>
        <v>2799</v>
      </c>
      <c r="AL138" s="660">
        <f>642.17*3</f>
        <v>1926.5099999999998</v>
      </c>
      <c r="AM138" s="477"/>
      <c r="AN138" s="685"/>
      <c r="AO138" s="477"/>
      <c r="AP138" s="477"/>
      <c r="AQ138" s="477"/>
      <c r="AR138" s="477"/>
      <c r="AS138" s="477"/>
      <c r="AT138" s="477"/>
      <c r="AU138" s="477"/>
      <c r="AV138" s="477"/>
      <c r="AW138" s="477"/>
      <c r="AX138" s="477"/>
      <c r="AY138" s="477"/>
      <c r="AZ138" s="477"/>
      <c r="BA138" s="477"/>
      <c r="BB138" s="477"/>
      <c r="BC138" s="477"/>
      <c r="BD138" s="477"/>
      <c r="BE138" s="477"/>
      <c r="BF138" s="477"/>
      <c r="BG138" s="477"/>
      <c r="BH138" s="815"/>
    </row>
    <row r="139" spans="1:123">
      <c r="A139" s="2337"/>
      <c r="B139" s="2273"/>
      <c r="C139" s="2274"/>
      <c r="D139" s="809" t="s">
        <v>1068</v>
      </c>
      <c r="E139" s="809">
        <v>20</v>
      </c>
      <c r="F139" s="585" t="s">
        <v>35</v>
      </c>
      <c r="G139" s="585" t="s">
        <v>35</v>
      </c>
      <c r="H139" s="549">
        <v>1441.3</v>
      </c>
      <c r="I139" s="550">
        <v>455.66</v>
      </c>
      <c r="J139" s="571" t="s">
        <v>35</v>
      </c>
      <c r="K139" s="572" t="s">
        <v>35</v>
      </c>
      <c r="L139" s="571" t="s">
        <v>35</v>
      </c>
      <c r="M139" s="572" t="s">
        <v>35</v>
      </c>
      <c r="N139" s="812">
        <v>-198.05111199999999</v>
      </c>
      <c r="O139" s="594">
        <v>-1</v>
      </c>
      <c r="P139" s="813">
        <v>197.37870799999999</v>
      </c>
      <c r="Q139" s="486">
        <v>0</v>
      </c>
      <c r="R139" s="2285"/>
      <c r="S139" s="748" t="s">
        <v>1069</v>
      </c>
      <c r="T139" s="749" t="s">
        <v>1019</v>
      </c>
      <c r="U139" s="591"/>
      <c r="V139" s="2333"/>
      <c r="W139" s="92" t="s">
        <v>174</v>
      </c>
      <c r="X139" s="92" t="s">
        <v>1070</v>
      </c>
      <c r="Y139" s="563">
        <f>((15*$R$137)+(36000*$R$136)+$R$138+$T$143)*1.2</f>
        <v>2881.1974902539982</v>
      </c>
      <c r="Z139" s="563">
        <f>Y139-Y136</f>
        <v>1096.5803087999975</v>
      </c>
      <c r="AA139" s="581">
        <f>(15-13)*$P$137</f>
        <v>95.759884</v>
      </c>
      <c r="AB139" s="582"/>
      <c r="AC139" s="525"/>
      <c r="AD139" s="524"/>
      <c r="AE139" s="525"/>
      <c r="AF139" s="573" t="s">
        <v>174</v>
      </c>
      <c r="AG139" s="92" t="s">
        <v>1070</v>
      </c>
      <c r="AH139" s="660">
        <f>Y139</f>
        <v>2881.1974902539982</v>
      </c>
      <c r="AI139" s="660"/>
      <c r="AJ139" s="660"/>
      <c r="AK139" s="660">
        <f>1070*3</f>
        <v>3210</v>
      </c>
      <c r="AL139" s="660">
        <f>734.79*3</f>
        <v>2204.37</v>
      </c>
      <c r="AM139" s="477"/>
      <c r="AN139" s="685"/>
      <c r="AO139" s="477"/>
      <c r="AP139" s="477"/>
      <c r="AQ139" s="477"/>
      <c r="AR139" s="477"/>
      <c r="AS139" s="477"/>
      <c r="AT139" s="477"/>
      <c r="AU139" s="477"/>
      <c r="AV139" s="477"/>
      <c r="AW139" s="477"/>
      <c r="AX139" s="477"/>
      <c r="AY139" s="477"/>
      <c r="AZ139" s="477"/>
      <c r="BA139" s="477"/>
      <c r="BB139" s="477"/>
      <c r="BC139" s="477"/>
      <c r="BD139" s="477"/>
      <c r="BE139" s="477"/>
      <c r="BF139" s="477"/>
      <c r="BG139" s="477"/>
      <c r="BH139" s="815"/>
    </row>
    <row r="140" spans="1:123">
      <c r="A140" s="2337"/>
      <c r="B140" s="2273"/>
      <c r="C140" s="2274"/>
      <c r="D140" s="809" t="s">
        <v>1042</v>
      </c>
      <c r="E140" s="809">
        <v>19</v>
      </c>
      <c r="F140" s="585" t="s">
        <v>35</v>
      </c>
      <c r="G140" s="585" t="s">
        <v>35</v>
      </c>
      <c r="H140" s="549">
        <v>3604.42</v>
      </c>
      <c r="I140" s="550">
        <v>1167.54</v>
      </c>
      <c r="J140" s="571" t="s">
        <v>35</v>
      </c>
      <c r="K140" s="572" t="s">
        <v>35</v>
      </c>
      <c r="L140" s="571" t="s">
        <v>35</v>
      </c>
      <c r="M140" s="572" t="s">
        <v>35</v>
      </c>
      <c r="N140" s="812">
        <v>675.77315599999997</v>
      </c>
      <c r="O140" s="594">
        <v>2.61</v>
      </c>
      <c r="P140" s="813">
        <v>259.30861160000001</v>
      </c>
      <c r="Q140" s="486">
        <v>5.2999999999999999E-2</v>
      </c>
      <c r="R140" s="2285"/>
      <c r="S140" s="667" t="s">
        <v>868</v>
      </c>
      <c r="T140" s="637" t="s">
        <v>869</v>
      </c>
      <c r="U140" s="560"/>
      <c r="V140" s="2333"/>
      <c r="W140" s="92" t="s">
        <v>174</v>
      </c>
      <c r="X140" s="92" t="s">
        <v>1071</v>
      </c>
      <c r="Y140" s="563">
        <f>((16*$R$137)+(36000*$R$136)+$R$138+$T$143)*1.2</f>
        <v>3429.4876446539997</v>
      </c>
      <c r="Z140" s="563">
        <f>Y140-Y136</f>
        <v>1644.870463199999</v>
      </c>
      <c r="AA140" s="581">
        <f>(16-13)*$P$137</f>
        <v>143.639826</v>
      </c>
      <c r="AB140" s="582"/>
      <c r="AC140" s="525"/>
      <c r="AD140" s="524"/>
      <c r="AE140" s="525"/>
      <c r="AF140" s="573" t="s">
        <v>174</v>
      </c>
      <c r="AG140" s="92" t="s">
        <v>1071</v>
      </c>
      <c r="AH140" s="660">
        <f>Y140</f>
        <v>3429.4876446539997</v>
      </c>
      <c r="AI140" s="660"/>
      <c r="AJ140" s="660"/>
      <c r="AK140" s="660">
        <f>1207*3</f>
        <v>3621</v>
      </c>
      <c r="AL140" s="660"/>
      <c r="AM140" s="477"/>
      <c r="AN140" s="685"/>
      <c r="AO140" s="477"/>
      <c r="AP140" s="477"/>
      <c r="AQ140" s="477"/>
      <c r="AR140" s="477"/>
      <c r="AS140" s="477"/>
      <c r="AT140" s="477"/>
      <c r="AU140" s="477"/>
      <c r="AV140" s="477"/>
      <c r="AW140" s="477"/>
      <c r="AX140" s="477"/>
      <c r="AY140" s="477"/>
      <c r="AZ140" s="477"/>
      <c r="BA140" s="477"/>
      <c r="BB140" s="477"/>
      <c r="BC140" s="477"/>
      <c r="BD140" s="477"/>
      <c r="BE140" s="477"/>
      <c r="BF140" s="477"/>
      <c r="BG140" s="477"/>
      <c r="BH140" s="815"/>
    </row>
    <row r="141" spans="1:123">
      <c r="A141" s="2337"/>
      <c r="B141" s="2273"/>
      <c r="C141" s="2287"/>
      <c r="D141" s="809" t="s">
        <v>1048</v>
      </c>
      <c r="E141" s="809">
        <v>19</v>
      </c>
      <c r="F141" s="646" t="s">
        <v>35</v>
      </c>
      <c r="G141" s="646" t="s">
        <v>35</v>
      </c>
      <c r="H141" s="549">
        <v>1153.32</v>
      </c>
      <c r="I141" s="550">
        <v>241.99</v>
      </c>
      <c r="J141" s="649" t="s">
        <v>35</v>
      </c>
      <c r="K141" s="650" t="s">
        <v>35</v>
      </c>
      <c r="L141" s="571" t="s">
        <v>35</v>
      </c>
      <c r="M141" s="572" t="s">
        <v>35</v>
      </c>
      <c r="N141" s="812">
        <v>0</v>
      </c>
      <c r="O141" s="594" t="s">
        <v>926</v>
      </c>
      <c r="P141" s="813" t="s">
        <v>926</v>
      </c>
      <c r="Q141" s="486">
        <v>5.8000000000000003E-2</v>
      </c>
      <c r="R141" s="2285"/>
      <c r="S141" s="568">
        <f>E137</f>
        <v>78</v>
      </c>
      <c r="T141" s="488" t="s">
        <v>35</v>
      </c>
      <c r="U141" s="452"/>
      <c r="V141" s="2333"/>
      <c r="W141" s="92" t="s">
        <v>175</v>
      </c>
      <c r="X141" s="92" t="s">
        <v>1072</v>
      </c>
      <c r="Y141" s="563">
        <f>((13*$R$137)+(18000*$R$136)+$R$138+$T$143)*1.2</f>
        <v>892.7747814540005</v>
      </c>
      <c r="Z141" s="564" t="s">
        <v>918</v>
      </c>
      <c r="AA141" s="565" t="s">
        <v>918</v>
      </c>
      <c r="AB141" s="454"/>
      <c r="AC141" s="525"/>
      <c r="AD141" s="524"/>
      <c r="AE141" s="525"/>
      <c r="AF141" s="757"/>
      <c r="AG141" s="525"/>
      <c r="AH141" s="477"/>
      <c r="AI141" s="477"/>
      <c r="AJ141" s="477"/>
      <c r="AK141" s="477"/>
      <c r="AL141" s="477"/>
      <c r="AM141" s="477"/>
      <c r="AN141" s="477"/>
      <c r="AO141" s="477"/>
      <c r="AP141" s="477"/>
      <c r="AQ141" s="477"/>
      <c r="AR141" s="477"/>
      <c r="AS141" s="477"/>
      <c r="AT141" s="477"/>
      <c r="AU141" s="477"/>
      <c r="AV141" s="477"/>
      <c r="AW141" s="477"/>
      <c r="AX141" s="477"/>
      <c r="AY141" s="477"/>
      <c r="AZ141" s="477"/>
      <c r="BA141" s="477"/>
      <c r="BB141" s="477"/>
      <c r="BC141" s="477"/>
      <c r="BD141" s="477"/>
      <c r="BE141" s="477"/>
      <c r="BF141" s="477"/>
      <c r="BG141" s="477"/>
      <c r="BH141" s="815"/>
    </row>
    <row r="142" spans="1:123">
      <c r="A142" s="2337"/>
      <c r="B142" s="816" t="s">
        <v>1073</v>
      </c>
      <c r="C142" s="817" t="s">
        <v>35</v>
      </c>
      <c r="D142" s="585" t="s">
        <v>35</v>
      </c>
      <c r="E142" s="585" t="s">
        <v>35</v>
      </c>
      <c r="F142" s="585" t="s">
        <v>35</v>
      </c>
      <c r="G142" s="585" t="s">
        <v>35</v>
      </c>
      <c r="H142" s="585" t="s">
        <v>35</v>
      </c>
      <c r="I142" s="572" t="s">
        <v>35</v>
      </c>
      <c r="J142" s="818" t="s">
        <v>853</v>
      </c>
      <c r="K142" s="819" t="s">
        <v>1074</v>
      </c>
      <c r="L142" s="571" t="s">
        <v>35</v>
      </c>
      <c r="M142" s="572" t="s">
        <v>35</v>
      </c>
      <c r="N142" s="820" t="s">
        <v>35</v>
      </c>
      <c r="O142" s="821" t="s">
        <v>35</v>
      </c>
      <c r="P142" s="821" t="s">
        <v>35</v>
      </c>
      <c r="Q142" s="577" t="s">
        <v>35</v>
      </c>
      <c r="R142" s="585" t="s">
        <v>35</v>
      </c>
      <c r="S142" s="667" t="s">
        <v>876</v>
      </c>
      <c r="T142" s="637" t="s">
        <v>877</v>
      </c>
      <c r="U142" s="560"/>
      <c r="V142" s="2333"/>
      <c r="W142" s="92" t="s">
        <v>174</v>
      </c>
      <c r="X142" s="92" t="s">
        <v>1075</v>
      </c>
      <c r="Y142" s="563">
        <f>((14*$R$137)+(18000*$R$136)+$R$138+$T$143)*1.2</f>
        <v>1441.0649358540009</v>
      </c>
      <c r="Z142" s="563">
        <f>Y142-Y141</f>
        <v>548.29015440000035</v>
      </c>
      <c r="AA142" s="581">
        <f>(14-13)*$P$137</f>
        <v>47.879942</v>
      </c>
      <c r="AB142" s="582"/>
      <c r="AC142" s="525"/>
      <c r="AD142" s="524"/>
      <c r="AE142" s="525"/>
      <c r="AF142" s="757"/>
      <c r="AG142" s="525"/>
      <c r="AH142" s="477"/>
      <c r="AI142" s="477"/>
      <c r="AJ142" s="477"/>
      <c r="AK142" s="477"/>
      <c r="AL142" s="477"/>
      <c r="AM142" s="477"/>
      <c r="AN142" s="477"/>
      <c r="AO142" s="477"/>
      <c r="AP142" s="477"/>
      <c r="AQ142" s="477"/>
      <c r="AR142" s="477"/>
      <c r="AS142" s="477"/>
      <c r="AT142" s="477"/>
      <c r="AU142" s="477"/>
      <c r="AV142" s="477"/>
      <c r="AW142" s="477"/>
      <c r="AX142" s="477"/>
      <c r="AY142" s="477"/>
      <c r="AZ142" s="477"/>
      <c r="BA142" s="477"/>
      <c r="BB142" s="477"/>
      <c r="BC142" s="477"/>
      <c r="BD142" s="477"/>
      <c r="BE142" s="477"/>
      <c r="BF142" s="477"/>
      <c r="BG142" s="477"/>
      <c r="BH142" s="815"/>
    </row>
    <row r="143" spans="1:123">
      <c r="A143" s="2337"/>
      <c r="B143" s="816" t="s">
        <v>521</v>
      </c>
      <c r="C143" s="817" t="s">
        <v>35</v>
      </c>
      <c r="D143" s="585" t="s">
        <v>35</v>
      </c>
      <c r="E143" s="585" t="s">
        <v>35</v>
      </c>
      <c r="F143" s="585" t="s">
        <v>35</v>
      </c>
      <c r="G143" s="585" t="s">
        <v>35</v>
      </c>
      <c r="H143" s="585" t="s">
        <v>35</v>
      </c>
      <c r="I143" s="572" t="s">
        <v>35</v>
      </c>
      <c r="J143" s="818" t="s">
        <v>853</v>
      </c>
      <c r="K143" s="819" t="s">
        <v>1076</v>
      </c>
      <c r="L143" s="571" t="s">
        <v>35</v>
      </c>
      <c r="M143" s="572" t="s">
        <v>35</v>
      </c>
      <c r="N143" s="820" t="s">
        <v>35</v>
      </c>
      <c r="O143" s="821" t="s">
        <v>35</v>
      </c>
      <c r="P143" s="821" t="s">
        <v>35</v>
      </c>
      <c r="Q143" s="577" t="s">
        <v>35</v>
      </c>
      <c r="R143" s="585" t="s">
        <v>35</v>
      </c>
      <c r="S143" s="669">
        <v>0.82710499999999998</v>
      </c>
      <c r="T143" s="599">
        <v>-6472.0861919999998</v>
      </c>
      <c r="U143" s="600"/>
      <c r="V143" s="2333"/>
      <c r="W143" s="92" t="s">
        <v>175</v>
      </c>
      <c r="X143" s="92" t="s">
        <v>1077</v>
      </c>
      <c r="Y143" s="563">
        <f>((13*$R$137)+(24000*$R$136)+$R$138+$T$143)*1.2</f>
        <v>1190.0555814539998</v>
      </c>
      <c r="Z143" s="487" t="s">
        <v>918</v>
      </c>
      <c r="AA143" s="565" t="s">
        <v>918</v>
      </c>
      <c r="AB143" s="454"/>
      <c r="AC143" s="525"/>
      <c r="AD143" s="524"/>
      <c r="AE143" s="525"/>
      <c r="AF143" s="757"/>
      <c r="AG143" s="525"/>
      <c r="AH143" s="477"/>
      <c r="AI143" s="477"/>
      <c r="AJ143" s="477"/>
      <c r="AK143" s="477"/>
      <c r="AL143" s="477"/>
      <c r="AM143" s="477"/>
      <c r="AN143" s="477"/>
      <c r="AO143" s="477"/>
      <c r="AP143" s="477"/>
      <c r="AQ143" s="477"/>
      <c r="AR143" s="477"/>
      <c r="AS143" s="477"/>
      <c r="AT143" s="477"/>
      <c r="AU143" s="477"/>
      <c r="AV143" s="477"/>
      <c r="AW143" s="477"/>
      <c r="AX143" s="477"/>
      <c r="AY143" s="477"/>
      <c r="AZ143" s="477"/>
      <c r="BA143" s="477"/>
      <c r="BB143" s="477"/>
      <c r="BC143" s="477"/>
      <c r="BD143" s="477"/>
      <c r="BE143" s="477"/>
      <c r="BF143" s="477"/>
      <c r="BG143" s="477"/>
      <c r="BH143" s="815"/>
    </row>
    <row r="144" spans="1:123" ht="15" customHeight="1">
      <c r="A144" s="2337"/>
      <c r="B144" s="2307" t="s">
        <v>1021</v>
      </c>
      <c r="C144" s="515"/>
      <c r="D144" s="525"/>
      <c r="E144" s="525"/>
      <c r="F144" s="525"/>
      <c r="G144" s="525"/>
      <c r="H144" s="525"/>
      <c r="I144" s="525"/>
      <c r="J144" s="757"/>
      <c r="K144" s="525"/>
      <c r="L144" s="757"/>
      <c r="M144" s="525"/>
      <c r="N144" s="822"/>
      <c r="O144" s="823"/>
      <c r="P144" s="823"/>
      <c r="Q144" s="605"/>
      <c r="R144" s="605"/>
      <c r="S144" s="498" t="s">
        <v>883</v>
      </c>
      <c r="T144" s="499" t="s">
        <v>884</v>
      </c>
      <c r="U144" s="470"/>
      <c r="V144" s="2333"/>
      <c r="W144" s="92" t="s">
        <v>174</v>
      </c>
      <c r="X144" s="92" t="s">
        <v>1078</v>
      </c>
      <c r="Y144" s="563">
        <f>((13*$R$137)+(24000*$R$136)+$R$138+$T$143)*1.2</f>
        <v>1190.0555814539998</v>
      </c>
      <c r="Z144" s="563">
        <f>Y144-Y143</f>
        <v>0</v>
      </c>
      <c r="AA144" s="581">
        <f>(13-13)*$P$137</f>
        <v>0</v>
      </c>
      <c r="AB144" s="582"/>
      <c r="AC144" s="525"/>
      <c r="AD144" s="524"/>
      <c r="AE144" s="525"/>
      <c r="AF144" s="757"/>
      <c r="AG144" s="525"/>
      <c r="AH144" s="477"/>
      <c r="AI144" s="477"/>
      <c r="AJ144" s="477"/>
      <c r="AK144" s="477"/>
      <c r="AL144" s="477"/>
      <c r="AM144" s="477"/>
      <c r="AN144" s="477"/>
      <c r="AO144" s="477"/>
      <c r="AP144" s="477"/>
      <c r="AQ144" s="477"/>
      <c r="AR144" s="477"/>
      <c r="AS144" s="477"/>
      <c r="AT144" s="477"/>
      <c r="AU144" s="477"/>
      <c r="AV144" s="477"/>
      <c r="AW144" s="477"/>
      <c r="AX144" s="477"/>
      <c r="AY144" s="477"/>
      <c r="AZ144" s="477"/>
      <c r="BA144" s="477"/>
      <c r="BB144" s="477"/>
      <c r="BC144" s="477"/>
      <c r="BD144" s="477"/>
      <c r="BE144" s="477"/>
      <c r="BF144" s="477"/>
      <c r="BG144" s="477"/>
      <c r="BH144" s="815"/>
    </row>
    <row r="145" spans="1:123">
      <c r="A145" s="2337"/>
      <c r="B145" s="2308"/>
      <c r="C145" s="515"/>
      <c r="D145" s="525"/>
      <c r="E145" s="525"/>
      <c r="F145" s="525"/>
      <c r="G145" s="525"/>
      <c r="H145" s="525"/>
      <c r="I145" s="525"/>
      <c r="J145" s="757"/>
      <c r="K145" s="525"/>
      <c r="L145" s="757"/>
      <c r="M145" s="525"/>
      <c r="N145" s="822"/>
      <c r="O145" s="823"/>
      <c r="P145" s="823"/>
      <c r="Q145" s="605"/>
      <c r="R145" s="605"/>
      <c r="S145" s="568">
        <v>473.613</v>
      </c>
      <c r="T145" s="824">
        <v>0.2</v>
      </c>
      <c r="U145" s="825"/>
      <c r="V145" s="2333"/>
      <c r="W145" s="92" t="s">
        <v>174</v>
      </c>
      <c r="X145" s="92" t="s">
        <v>1079</v>
      </c>
      <c r="Y145" s="563">
        <f>((14*$R$137)+(24000*$R$136)+$R$138+$T$143)*1.2</f>
        <v>1738.3457358540002</v>
      </c>
      <c r="Z145" s="563">
        <f>Y145-Y143</f>
        <v>548.29015440000035</v>
      </c>
      <c r="AA145" s="581">
        <f>(14-13)*$P$137</f>
        <v>47.879942</v>
      </c>
      <c r="AB145" s="582"/>
      <c r="AC145" s="525"/>
      <c r="AD145" s="524"/>
      <c r="AE145" s="525"/>
      <c r="AF145" s="757"/>
      <c r="AG145" s="525"/>
      <c r="AH145" s="477"/>
      <c r="AI145" s="477"/>
      <c r="AJ145" s="477"/>
      <c r="AK145" s="477"/>
      <c r="AL145" s="477"/>
      <c r="AM145" s="477"/>
      <c r="AN145" s="477"/>
      <c r="AO145" s="477"/>
      <c r="AP145" s="477"/>
      <c r="AQ145" s="477"/>
      <c r="AR145" s="477"/>
      <c r="AS145" s="477"/>
      <c r="AT145" s="477"/>
      <c r="AU145" s="477"/>
      <c r="AV145" s="477"/>
      <c r="AW145" s="477"/>
      <c r="AX145" s="477"/>
      <c r="AY145" s="477"/>
      <c r="AZ145" s="477"/>
      <c r="BA145" s="477"/>
      <c r="BB145" s="477"/>
      <c r="BC145" s="477"/>
      <c r="BD145" s="477"/>
      <c r="BE145" s="477"/>
      <c r="BF145" s="477"/>
      <c r="BG145" s="477"/>
      <c r="BH145" s="815"/>
    </row>
    <row r="146" spans="1:123">
      <c r="A146" s="2337"/>
      <c r="B146" s="2308"/>
      <c r="C146" s="515"/>
      <c r="D146" s="525"/>
      <c r="E146" s="525"/>
      <c r="F146" s="525"/>
      <c r="G146" s="525"/>
      <c r="H146" s="525"/>
      <c r="I146" s="525"/>
      <c r="J146" s="757"/>
      <c r="K146" s="525"/>
      <c r="L146" s="757"/>
      <c r="M146" s="525"/>
      <c r="N146" s="822"/>
      <c r="O146" s="823"/>
      <c r="P146" s="823"/>
      <c r="Q146" s="605"/>
      <c r="R146" s="605"/>
      <c r="S146" s="520"/>
      <c r="T146" s="525"/>
      <c r="V146" s="2333"/>
      <c r="W146" s="92" t="s">
        <v>174</v>
      </c>
      <c r="X146" s="92" t="s">
        <v>1080</v>
      </c>
      <c r="Y146" s="563">
        <f>((15*$R$137)+(24000*$R$136)+$R$138+$T$143)*1.2</f>
        <v>2286.6358902539996</v>
      </c>
      <c r="Z146" s="563">
        <f>Y146-Y143</f>
        <v>1096.5803087999998</v>
      </c>
      <c r="AA146" s="581">
        <f>(15-13)*$P$137</f>
        <v>95.759884</v>
      </c>
      <c r="AB146" s="582"/>
      <c r="AC146" s="525"/>
      <c r="AD146" s="524"/>
      <c r="AE146" s="525"/>
      <c r="AF146" s="757"/>
      <c r="AG146" s="525"/>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77"/>
      <c r="BF146" s="477"/>
      <c r="BG146" s="477"/>
      <c r="BH146" s="815"/>
    </row>
    <row r="147" spans="1:123">
      <c r="A147" s="2337"/>
      <c r="B147" s="2308"/>
      <c r="C147" s="515"/>
      <c r="D147" s="525"/>
      <c r="E147" s="525"/>
      <c r="F147" s="525"/>
      <c r="G147" s="525"/>
      <c r="H147" s="525"/>
      <c r="I147" s="525"/>
      <c r="J147" s="757"/>
      <c r="K147" s="525"/>
      <c r="L147" s="757"/>
      <c r="M147" s="525"/>
      <c r="N147" s="822"/>
      <c r="O147" s="823"/>
      <c r="P147" s="823"/>
      <c r="Q147" s="605"/>
      <c r="R147" s="605"/>
      <c r="S147" s="524"/>
      <c r="T147" s="525"/>
      <c r="V147" s="2333"/>
      <c r="W147" s="92" t="s">
        <v>175</v>
      </c>
      <c r="X147" s="92" t="s">
        <v>1081</v>
      </c>
      <c r="Y147" s="563">
        <f>((13*$R$137)+(60000*$R$136)+$R$138+$T$143)*1.2</f>
        <v>2973.7403814539994</v>
      </c>
      <c r="Z147" s="487" t="s">
        <v>918</v>
      </c>
      <c r="AA147" s="565" t="s">
        <v>918</v>
      </c>
      <c r="AB147" s="454"/>
      <c r="AC147" s="525"/>
      <c r="AD147" s="524"/>
      <c r="AE147" s="525"/>
      <c r="AF147" s="757"/>
      <c r="AG147" s="525"/>
      <c r="AH147" s="477"/>
      <c r="AI147" s="477"/>
      <c r="AJ147" s="477"/>
      <c r="AK147" s="477"/>
      <c r="AL147" s="477"/>
      <c r="AM147" s="477"/>
      <c r="AN147" s="477"/>
      <c r="AO147" s="477"/>
      <c r="AP147" s="477"/>
      <c r="AQ147" s="477"/>
      <c r="AR147" s="477"/>
      <c r="AS147" s="477"/>
      <c r="AT147" s="477"/>
      <c r="AU147" s="477"/>
      <c r="AV147" s="477"/>
      <c r="AW147" s="477"/>
      <c r="AX147" s="477"/>
      <c r="AY147" s="477"/>
      <c r="AZ147" s="477"/>
      <c r="BA147" s="477"/>
      <c r="BB147" s="477"/>
      <c r="BC147" s="477"/>
      <c r="BD147" s="477"/>
      <c r="BE147" s="477"/>
      <c r="BF147" s="477"/>
      <c r="BG147" s="477"/>
      <c r="BH147" s="815"/>
    </row>
    <row r="148" spans="1:123">
      <c r="A148" s="2337"/>
      <c r="B148" s="2308"/>
      <c r="C148" s="515"/>
      <c r="D148" s="525"/>
      <c r="E148" s="525"/>
      <c r="F148" s="525"/>
      <c r="G148" s="525"/>
      <c r="H148" s="525"/>
      <c r="I148" s="525"/>
      <c r="J148" s="757"/>
      <c r="K148" s="525"/>
      <c r="L148" s="757"/>
      <c r="M148" s="525"/>
      <c r="N148" s="822"/>
      <c r="O148" s="823"/>
      <c r="P148" s="823"/>
      <c r="Q148" s="605"/>
      <c r="R148" s="605"/>
      <c r="S148" s="524"/>
      <c r="T148" s="525"/>
      <c r="V148" s="2333"/>
      <c r="W148" s="92" t="s">
        <v>174</v>
      </c>
      <c r="X148" s="92" t="s">
        <v>1082</v>
      </c>
      <c r="Y148" s="563">
        <f>((14*$R$137)+(60000*$R$136)+$R$138+$T$143)*1.2</f>
        <v>3522.0305358539986</v>
      </c>
      <c r="Z148" s="563">
        <f>Y148-Y147</f>
        <v>548.29015439999921</v>
      </c>
      <c r="AA148" s="581">
        <f>(14-13)*$P$137</f>
        <v>47.879942</v>
      </c>
      <c r="AB148" s="582"/>
      <c r="AC148" s="525"/>
      <c r="AD148" s="524"/>
      <c r="AE148" s="525"/>
      <c r="AF148" s="757"/>
      <c r="AG148" s="525"/>
      <c r="AH148" s="477"/>
      <c r="AI148" s="477"/>
      <c r="AJ148" s="477"/>
      <c r="AK148" s="477"/>
      <c r="AL148" s="477"/>
      <c r="AM148" s="477"/>
      <c r="AN148" s="477"/>
      <c r="AO148" s="477"/>
      <c r="AP148" s="477"/>
      <c r="AQ148" s="477"/>
      <c r="AR148" s="477"/>
      <c r="AS148" s="477"/>
      <c r="AT148" s="477"/>
      <c r="AU148" s="477"/>
      <c r="AV148" s="477"/>
      <c r="AW148" s="477"/>
      <c r="AX148" s="477"/>
      <c r="AY148" s="477"/>
      <c r="AZ148" s="477"/>
      <c r="BA148" s="477"/>
      <c r="BB148" s="477"/>
      <c r="BC148" s="477"/>
      <c r="BD148" s="477"/>
      <c r="BE148" s="477"/>
      <c r="BF148" s="477"/>
      <c r="BG148" s="477"/>
      <c r="BH148" s="815"/>
    </row>
    <row r="149" spans="1:123">
      <c r="A149" s="2337"/>
      <c r="B149" s="2308"/>
      <c r="C149" s="515"/>
      <c r="D149" s="525"/>
      <c r="E149" s="525"/>
      <c r="F149" s="525"/>
      <c r="G149" s="525"/>
      <c r="H149" s="525"/>
      <c r="I149" s="525"/>
      <c r="J149" s="757"/>
      <c r="K149" s="525"/>
      <c r="L149" s="757"/>
      <c r="M149" s="525"/>
      <c r="N149" s="822"/>
      <c r="O149" s="823"/>
      <c r="P149" s="823"/>
      <c r="Q149" s="605"/>
      <c r="R149" s="605"/>
      <c r="S149" s="524"/>
      <c r="T149" s="525"/>
      <c r="V149" s="2333"/>
      <c r="W149" s="92" t="s">
        <v>175</v>
      </c>
      <c r="X149" s="92" t="s">
        <v>1083</v>
      </c>
      <c r="Y149" s="563">
        <f>((13*$R$137)+(60000*$R$136)+$R$138+$T$143)*1.2</f>
        <v>2973.7403814539994</v>
      </c>
      <c r="Z149" s="564" t="s">
        <v>918</v>
      </c>
      <c r="AA149" s="565" t="s">
        <v>918</v>
      </c>
      <c r="AB149" s="454"/>
      <c r="AC149" s="525"/>
      <c r="AD149" s="524"/>
      <c r="AE149" s="525"/>
      <c r="AF149" s="757"/>
      <c r="AG149" s="525"/>
      <c r="AH149" s="477"/>
      <c r="AI149" s="477"/>
      <c r="AJ149" s="477"/>
      <c r="AK149" s="477"/>
      <c r="AL149" s="477"/>
      <c r="AM149" s="477"/>
      <c r="AN149" s="477"/>
      <c r="AO149" s="477"/>
      <c r="AP149" s="477"/>
      <c r="AQ149" s="477"/>
      <c r="AR149" s="477"/>
      <c r="AS149" s="477"/>
      <c r="AT149" s="477"/>
      <c r="AU149" s="477"/>
      <c r="AV149" s="477"/>
      <c r="AW149" s="477"/>
      <c r="AX149" s="477"/>
      <c r="AY149" s="477"/>
      <c r="AZ149" s="477"/>
      <c r="BA149" s="477"/>
      <c r="BB149" s="477"/>
      <c r="BC149" s="477"/>
      <c r="BD149" s="477"/>
      <c r="BE149" s="477"/>
      <c r="BF149" s="477"/>
      <c r="BG149" s="477"/>
      <c r="BH149" s="815"/>
    </row>
    <row r="150" spans="1:123">
      <c r="A150" s="2337"/>
      <c r="B150" s="2308"/>
      <c r="C150" s="515"/>
      <c r="D150" s="525"/>
      <c r="E150" s="525"/>
      <c r="F150" s="525"/>
      <c r="G150" s="525"/>
      <c r="H150" s="525"/>
      <c r="I150" s="525"/>
      <c r="J150" s="757"/>
      <c r="K150" s="525"/>
      <c r="L150" s="757"/>
      <c r="M150" s="525"/>
      <c r="N150" s="822"/>
      <c r="O150" s="823"/>
      <c r="P150" s="823"/>
      <c r="Q150" s="605"/>
      <c r="R150" s="605"/>
      <c r="S150" s="524"/>
      <c r="T150" s="525"/>
      <c r="V150" s="2333"/>
      <c r="W150" s="92" t="s">
        <v>174</v>
      </c>
      <c r="X150" s="92" t="s">
        <v>1084</v>
      </c>
      <c r="Y150" s="563">
        <f>((13*$R$137)+(60000*$R$136)+$R$138+$T$143)*1.2</f>
        <v>2973.7403814539994</v>
      </c>
      <c r="Z150" s="563">
        <f>Y150-Y149</f>
        <v>0</v>
      </c>
      <c r="AA150" s="581">
        <f>(13-13)*$P$137</f>
        <v>0</v>
      </c>
      <c r="AB150" s="582"/>
      <c r="AC150" s="525"/>
      <c r="AD150" s="524"/>
      <c r="AE150" s="525"/>
      <c r="AF150" s="757"/>
      <c r="AG150" s="525"/>
      <c r="AH150" s="477"/>
      <c r="AI150" s="477"/>
      <c r="AJ150" s="477"/>
      <c r="AK150" s="477"/>
      <c r="AL150" s="477"/>
      <c r="AM150" s="477"/>
      <c r="AN150" s="477"/>
      <c r="AO150" s="477"/>
      <c r="AP150" s="477"/>
      <c r="AQ150" s="477"/>
      <c r="AR150" s="477"/>
      <c r="AS150" s="477"/>
      <c r="AT150" s="477"/>
      <c r="AU150" s="477"/>
      <c r="AV150" s="477"/>
      <c r="AW150" s="477"/>
      <c r="AX150" s="477"/>
      <c r="AY150" s="477"/>
      <c r="AZ150" s="477"/>
      <c r="BA150" s="477"/>
      <c r="BB150" s="477"/>
      <c r="BC150" s="477"/>
      <c r="BD150" s="477"/>
      <c r="BE150" s="477"/>
      <c r="BF150" s="477"/>
      <c r="BG150" s="477"/>
      <c r="BH150" s="815"/>
    </row>
    <row r="151" spans="1:123">
      <c r="A151" s="2337"/>
      <c r="B151" s="2308"/>
      <c r="C151" s="515"/>
      <c r="D151" s="525"/>
      <c r="E151" s="525"/>
      <c r="F151" s="525"/>
      <c r="G151" s="525"/>
      <c r="H151" s="525"/>
      <c r="I151" s="525"/>
      <c r="J151" s="757"/>
      <c r="K151" s="525"/>
      <c r="L151" s="757"/>
      <c r="M151" s="525"/>
      <c r="N151" s="822"/>
      <c r="O151" s="823"/>
      <c r="P151" s="823"/>
      <c r="Q151" s="605"/>
      <c r="R151" s="605"/>
      <c r="S151" s="524"/>
      <c r="T151" s="525"/>
      <c r="V151" s="2333"/>
      <c r="W151" s="92" t="s">
        <v>174</v>
      </c>
      <c r="X151" s="92" t="s">
        <v>1085</v>
      </c>
      <c r="Y151" s="563">
        <f>((14*$R$137)+(60000*$R$136)+$R$138+$T$143)*1.2</f>
        <v>3522.0305358539986</v>
      </c>
      <c r="Z151" s="563">
        <f>Y151-Y149</f>
        <v>548.29015439999921</v>
      </c>
      <c r="AA151" s="581">
        <f>(14-13)*$P$137</f>
        <v>47.879942</v>
      </c>
      <c r="AB151" s="582"/>
      <c r="AC151" s="525"/>
      <c r="AD151" s="524"/>
      <c r="AE151" s="525"/>
      <c r="AF151" s="757"/>
      <c r="AG151" s="525"/>
      <c r="AH151" s="477"/>
      <c r="AI151" s="477"/>
      <c r="AJ151" s="477"/>
      <c r="AK151" s="477"/>
      <c r="AL151" s="477"/>
      <c r="AM151" s="477"/>
      <c r="AN151" s="477"/>
      <c r="AO151" s="477"/>
      <c r="AP151" s="477"/>
      <c r="AQ151" s="477"/>
      <c r="AR151" s="477"/>
      <c r="AS151" s="477"/>
      <c r="AT151" s="477"/>
      <c r="AU151" s="477"/>
      <c r="AV151" s="477"/>
      <c r="AW151" s="477"/>
      <c r="AX151" s="477"/>
      <c r="AY151" s="477"/>
      <c r="AZ151" s="477"/>
      <c r="BA151" s="477"/>
      <c r="BB151" s="477"/>
      <c r="BC151" s="477"/>
      <c r="BD151" s="477"/>
      <c r="BE151" s="477"/>
      <c r="BF151" s="477"/>
      <c r="BG151" s="477"/>
      <c r="BH151" s="815"/>
    </row>
    <row r="152" spans="1:123">
      <c r="A152" s="2337"/>
      <c r="B152" s="2308"/>
      <c r="C152" s="515"/>
      <c r="D152" s="525"/>
      <c r="E152" s="525"/>
      <c r="F152" s="525"/>
      <c r="G152" s="525"/>
      <c r="H152" s="525"/>
      <c r="I152" s="525"/>
      <c r="J152" s="757"/>
      <c r="K152" s="525"/>
      <c r="L152" s="757"/>
      <c r="M152" s="525"/>
      <c r="N152" s="822"/>
      <c r="O152" s="823"/>
      <c r="P152" s="823"/>
      <c r="Q152" s="605"/>
      <c r="R152" s="605"/>
      <c r="S152" s="524"/>
      <c r="T152" s="525"/>
      <c r="V152" s="2334"/>
      <c r="W152" s="745" t="s">
        <v>174</v>
      </c>
      <c r="X152" s="745" t="s">
        <v>1086</v>
      </c>
      <c r="Y152" s="826">
        <f>((15*$R$137)+(60000*$R$136)+$R$138+$T$143)*1.2</f>
        <v>4070.3206902539978</v>
      </c>
      <c r="Z152" s="826">
        <f>Y152-Y149</f>
        <v>1096.5803087999984</v>
      </c>
      <c r="AA152" s="827">
        <f>(15-13)*$P$137</f>
        <v>95.759884</v>
      </c>
      <c r="AB152" s="582"/>
      <c r="AC152" s="525"/>
      <c r="AD152" s="524"/>
      <c r="AE152" s="525"/>
      <c r="AF152" s="757"/>
      <c r="AG152" s="525"/>
      <c r="AH152" s="477"/>
      <c r="AI152" s="477"/>
      <c r="AJ152" s="477"/>
      <c r="AK152" s="477"/>
      <c r="AL152" s="477"/>
      <c r="AM152" s="477"/>
      <c r="AN152" s="477"/>
      <c r="AO152" s="477"/>
      <c r="AP152" s="477"/>
      <c r="AQ152" s="477"/>
      <c r="AR152" s="477"/>
      <c r="AS152" s="477"/>
      <c r="AT152" s="477"/>
      <c r="AU152" s="477"/>
      <c r="AV152" s="477"/>
      <c r="AW152" s="477"/>
      <c r="AX152" s="477"/>
      <c r="AY152" s="477"/>
      <c r="AZ152" s="477"/>
      <c r="BA152" s="477"/>
      <c r="BB152" s="477"/>
      <c r="BC152" s="477"/>
      <c r="BD152" s="477"/>
      <c r="BE152" s="477"/>
      <c r="BF152" s="477"/>
      <c r="BG152" s="477"/>
      <c r="BH152" s="815"/>
    </row>
    <row r="153" spans="1:123" ht="18.600000000000001" thickBot="1">
      <c r="A153" s="780"/>
      <c r="B153" s="2331"/>
      <c r="C153" s="515"/>
      <c r="D153" s="525"/>
      <c r="E153" s="525"/>
      <c r="F153" s="525"/>
      <c r="G153" s="525"/>
      <c r="H153" s="525"/>
      <c r="I153" s="525"/>
      <c r="J153" s="757"/>
      <c r="K153" s="525"/>
      <c r="L153" s="757"/>
      <c r="M153" s="525"/>
      <c r="N153" s="822"/>
      <c r="O153" s="823"/>
      <c r="P153" s="823"/>
      <c r="Q153" s="605"/>
      <c r="R153" s="605"/>
      <c r="S153" s="675"/>
      <c r="T153" s="525"/>
      <c r="V153" s="828"/>
      <c r="W153" s="829"/>
      <c r="X153" s="829"/>
      <c r="Y153" s="830"/>
      <c r="Z153" s="830"/>
      <c r="AA153" s="831"/>
      <c r="AB153" s="582"/>
      <c r="AC153" s="525"/>
      <c r="AD153" s="675"/>
      <c r="AE153" s="784"/>
      <c r="AF153" s="757"/>
      <c r="AG153" s="525"/>
      <c r="AH153" s="477"/>
      <c r="AI153" s="477"/>
      <c r="AJ153" s="477"/>
      <c r="AK153" s="477"/>
      <c r="AL153" s="477"/>
      <c r="AM153" s="477"/>
      <c r="AN153" s="477"/>
      <c r="AO153" s="477"/>
      <c r="AP153" s="477"/>
      <c r="AQ153" s="477"/>
      <c r="AR153" s="477"/>
      <c r="AS153" s="477"/>
      <c r="AT153" s="477"/>
      <c r="AU153" s="477"/>
      <c r="AV153" s="477"/>
      <c r="AW153" s="477"/>
      <c r="AX153" s="477"/>
      <c r="AY153" s="477"/>
      <c r="AZ153" s="477"/>
      <c r="BA153" s="477"/>
      <c r="BB153" s="477"/>
      <c r="BC153" s="477"/>
      <c r="BD153" s="477"/>
      <c r="BE153" s="477"/>
      <c r="BF153" s="477"/>
      <c r="BG153" s="477"/>
      <c r="BH153" s="815"/>
    </row>
    <row r="154" spans="1:123" s="626" customFormat="1" ht="9" customHeight="1" thickBot="1">
      <c r="A154" s="540"/>
      <c r="B154" s="541"/>
      <c r="C154" s="444"/>
      <c r="D154" s="445"/>
      <c r="E154" s="444"/>
      <c r="F154" s="444"/>
      <c r="G154" s="444"/>
      <c r="H154" s="444"/>
      <c r="I154" s="444"/>
      <c r="J154" s="446"/>
      <c r="K154" s="445"/>
      <c r="L154" s="446"/>
      <c r="M154" s="447"/>
      <c r="N154" s="448"/>
      <c r="O154" s="449"/>
      <c r="P154" s="449"/>
      <c r="Q154" s="450"/>
      <c r="R154" s="450"/>
      <c r="S154" s="451"/>
      <c r="T154" s="451"/>
      <c r="U154" s="452"/>
      <c r="V154" s="453"/>
      <c r="W154" s="447"/>
      <c r="X154" s="447"/>
      <c r="Y154" s="451"/>
      <c r="Z154" s="451"/>
      <c r="AA154" s="451"/>
      <c r="AB154" s="454"/>
      <c r="AC154" s="447"/>
      <c r="AD154" s="447"/>
      <c r="AE154" s="447"/>
      <c r="AF154" s="455"/>
      <c r="AG154" s="447"/>
      <c r="AH154" s="653"/>
      <c r="AI154" s="653"/>
      <c r="AJ154" s="653"/>
      <c r="AK154" s="653"/>
      <c r="AL154" s="456"/>
      <c r="AM154" s="456"/>
      <c r="AN154" s="456"/>
      <c r="AO154" s="456"/>
      <c r="AP154" s="456"/>
      <c r="AQ154" s="456"/>
      <c r="AR154" s="456"/>
      <c r="AS154" s="456"/>
      <c r="AT154" s="456"/>
      <c r="AU154" s="456"/>
      <c r="AV154" s="456"/>
      <c r="AW154" s="456"/>
      <c r="AX154" s="456"/>
      <c r="AY154" s="456"/>
      <c r="AZ154" s="456"/>
      <c r="BA154" s="456"/>
      <c r="BB154" s="456"/>
      <c r="BC154" s="456"/>
      <c r="BD154" s="456"/>
      <c r="BE154" s="456"/>
      <c r="BF154" s="456"/>
      <c r="BG154" s="456"/>
      <c r="BH154" s="432"/>
      <c r="CF154" s="542"/>
      <c r="CG154" s="542"/>
      <c r="CH154" s="542"/>
      <c r="CI154" s="542"/>
      <c r="CJ154" s="542"/>
      <c r="CK154" s="542"/>
      <c r="CL154" s="542"/>
      <c r="CM154" s="542"/>
      <c r="CN154" s="542"/>
      <c r="CO154" s="542"/>
      <c r="CP154" s="542"/>
      <c r="CQ154" s="542"/>
      <c r="CR154" s="542"/>
      <c r="CS154" s="542"/>
      <c r="CT154" s="542"/>
      <c r="CU154" s="542"/>
      <c r="CV154" s="542"/>
      <c r="CW154" s="542"/>
      <c r="CX154" s="542"/>
      <c r="CY154" s="542"/>
      <c r="CZ154" s="542"/>
      <c r="DA154" s="542"/>
      <c r="DB154" s="542"/>
      <c r="DC154" s="542"/>
      <c r="DD154" s="542"/>
      <c r="DE154" s="542"/>
      <c r="DF154" s="542"/>
      <c r="DG154" s="542"/>
      <c r="DH154" s="542"/>
      <c r="DI154" s="543"/>
      <c r="DJ154" s="542"/>
      <c r="DK154" s="542"/>
      <c r="DL154" s="542"/>
      <c r="DM154" s="542"/>
      <c r="DN154" s="542"/>
      <c r="DO154" s="542"/>
      <c r="DP154" s="542"/>
      <c r="DQ154" s="542"/>
      <c r="DR154" s="542"/>
      <c r="DS154" s="542"/>
    </row>
    <row r="155" spans="1:123" s="844" customFormat="1" ht="30" customHeight="1">
      <c r="A155" s="2290" t="s">
        <v>1087</v>
      </c>
      <c r="B155" s="492" t="s">
        <v>542</v>
      </c>
      <c r="C155" s="832" t="s">
        <v>853</v>
      </c>
      <c r="D155" s="788" t="s">
        <v>1088</v>
      </c>
      <c r="E155" s="788">
        <v>83</v>
      </c>
      <c r="F155" s="833">
        <v>37497.589999999997</v>
      </c>
      <c r="G155" s="833">
        <v>12344.52</v>
      </c>
      <c r="H155" s="789">
        <v>1452.318</v>
      </c>
      <c r="I155" s="790">
        <v>433.42360000000002</v>
      </c>
      <c r="J155" s="791" t="s">
        <v>855</v>
      </c>
      <c r="K155" s="792" t="s">
        <v>1059</v>
      </c>
      <c r="L155" s="834" t="s">
        <v>35</v>
      </c>
      <c r="M155" s="697" t="s">
        <v>35</v>
      </c>
      <c r="N155" s="835">
        <v>2.3001000000000001E-2</v>
      </c>
      <c r="O155" s="836">
        <v>17.649999999999999</v>
      </c>
      <c r="P155" s="836">
        <v>1.3033000000000001E-3</v>
      </c>
      <c r="Q155" s="485" t="s">
        <v>35</v>
      </c>
      <c r="R155" s="744">
        <f>N155</f>
        <v>2.3001000000000001E-2</v>
      </c>
      <c r="S155" s="678" t="s">
        <v>841</v>
      </c>
      <c r="T155" s="559" t="s">
        <v>842</v>
      </c>
      <c r="U155" s="560"/>
      <c r="V155" s="2381" t="s">
        <v>843</v>
      </c>
      <c r="W155" s="177" t="s">
        <v>175</v>
      </c>
      <c r="X155" s="837" t="s">
        <v>1089</v>
      </c>
      <c r="Y155" s="838">
        <f>((13*$R$156)+(36000*$R$155)+$R$157+$T$162)*1.2</f>
        <v>1268.5508550650604</v>
      </c>
      <c r="Z155" s="838" t="s">
        <v>918</v>
      </c>
      <c r="AA155" s="839" t="s">
        <v>918</v>
      </c>
      <c r="AB155" s="840"/>
      <c r="AC155" s="802"/>
      <c r="AD155" s="841"/>
      <c r="AE155" s="802"/>
      <c r="AF155" s="803" t="s">
        <v>175</v>
      </c>
      <c r="AG155" s="804" t="s">
        <v>1090</v>
      </c>
      <c r="AH155" s="842">
        <f>((12.5*$R$156)+(36000*$R$155)+$R$157+$T$162)*1.2</f>
        <v>1130.3606754650602</v>
      </c>
      <c r="AI155" s="842">
        <f>1709*1.2</f>
        <v>2050.7999999999997</v>
      </c>
      <c r="AJ155" s="695">
        <f>AVERAGE(1077,1404)</f>
        <v>1240.5</v>
      </c>
      <c r="AK155" s="842"/>
      <c r="AL155" s="783"/>
      <c r="AM155" s="783"/>
      <c r="AN155" s="783"/>
      <c r="AO155" s="783"/>
      <c r="AP155" s="783"/>
      <c r="AQ155" s="783"/>
      <c r="AR155" s="783"/>
      <c r="AS155" s="783"/>
      <c r="AT155" s="783"/>
      <c r="AU155" s="783"/>
      <c r="AV155" s="783"/>
      <c r="AW155" s="783"/>
      <c r="AX155" s="783"/>
      <c r="AY155" s="783"/>
      <c r="AZ155" s="783"/>
      <c r="BA155" s="783"/>
      <c r="BB155" s="783"/>
      <c r="BC155" s="783"/>
      <c r="BD155" s="783"/>
      <c r="BE155" s="783"/>
      <c r="BF155" s="783"/>
      <c r="BG155" s="783"/>
      <c r="BH155" s="843"/>
      <c r="DI155" s="845"/>
    </row>
    <row r="156" spans="1:123" s="331" customFormat="1" ht="15" customHeight="1">
      <c r="A156" s="2291"/>
      <c r="B156" s="566" t="s">
        <v>204</v>
      </c>
      <c r="C156" s="567" t="s">
        <v>853</v>
      </c>
      <c r="D156" s="846" t="s">
        <v>1091</v>
      </c>
      <c r="E156" s="809">
        <v>83</v>
      </c>
      <c r="F156" s="598">
        <v>14.566269999999999</v>
      </c>
      <c r="G156" s="598">
        <v>1.1862299999999999</v>
      </c>
      <c r="H156" s="549">
        <v>1452.318</v>
      </c>
      <c r="I156" s="550">
        <v>433.42360000000002</v>
      </c>
      <c r="J156" s="810" t="s">
        <v>853</v>
      </c>
      <c r="K156" s="811" t="s">
        <v>1092</v>
      </c>
      <c r="L156" s="571" t="s">
        <v>35</v>
      </c>
      <c r="M156" s="572" t="s">
        <v>35</v>
      </c>
      <c r="N156" s="575">
        <v>230.31696600000001</v>
      </c>
      <c r="O156" s="576">
        <v>16.86</v>
      </c>
      <c r="P156" s="576">
        <v>13.6601833</v>
      </c>
      <c r="Q156" s="577" t="s">
        <v>35</v>
      </c>
      <c r="R156" s="684">
        <f>N156</f>
        <v>230.31696600000001</v>
      </c>
      <c r="S156" s="665" t="s">
        <v>1064</v>
      </c>
      <c r="T156" s="500" t="s">
        <v>1065</v>
      </c>
      <c r="U156" s="591"/>
      <c r="V156" s="2382"/>
      <c r="W156" s="92" t="s">
        <v>174</v>
      </c>
      <c r="X156" s="583" t="s">
        <v>1093</v>
      </c>
      <c r="Y156" s="826">
        <f>((13*$R$156)+(36000*$R$155)+$R$157+$T$162)*1.2</f>
        <v>1268.5508550650604</v>
      </c>
      <c r="Z156" s="826">
        <f t="shared" ref="Z156:Z164" si="2">Y156-$Y$155</f>
        <v>0</v>
      </c>
      <c r="AA156" s="827">
        <f>(13-13)*$P$156</f>
        <v>0</v>
      </c>
      <c r="AB156" s="582"/>
      <c r="AC156" s="525"/>
      <c r="AD156" s="524"/>
      <c r="AE156" s="525"/>
      <c r="AF156" s="847" t="s">
        <v>175</v>
      </c>
      <c r="AG156" s="583" t="s">
        <v>1093</v>
      </c>
      <c r="AH156" s="681">
        <f t="shared" ref="AH156:AH164" si="3">Y156</f>
        <v>1268.5508550650604</v>
      </c>
      <c r="AI156" s="681"/>
      <c r="AJ156" s="681">
        <v>1404</v>
      </c>
      <c r="AK156" s="681">
        <f>612*3</f>
        <v>1836</v>
      </c>
      <c r="AL156" s="477"/>
      <c r="AM156" s="477"/>
      <c r="AN156" s="664"/>
      <c r="AO156" s="477"/>
      <c r="AP156" s="477"/>
      <c r="AQ156" s="477"/>
      <c r="AR156" s="477"/>
      <c r="AS156" s="477"/>
      <c r="AT156" s="477"/>
      <c r="AU156" s="477"/>
      <c r="AV156" s="477"/>
      <c r="AW156" s="477"/>
      <c r="AX156" s="477"/>
      <c r="AY156" s="477"/>
      <c r="AZ156" s="477"/>
      <c r="BA156" s="477"/>
      <c r="BB156" s="477"/>
      <c r="BC156" s="477"/>
      <c r="BD156" s="477"/>
      <c r="BE156" s="477"/>
      <c r="BF156" s="477"/>
      <c r="BG156" s="477"/>
      <c r="BH156" s="432"/>
      <c r="DI156" s="848"/>
    </row>
    <row r="157" spans="1:123" s="331" customFormat="1" ht="15" customHeight="1">
      <c r="A157" s="2291"/>
      <c r="B157" s="2273" t="s">
        <v>547</v>
      </c>
      <c r="C157" s="2287" t="s">
        <v>862</v>
      </c>
      <c r="D157" s="837" t="s">
        <v>1042</v>
      </c>
      <c r="E157" s="809">
        <v>22</v>
      </c>
      <c r="F157" s="577" t="s">
        <v>35</v>
      </c>
      <c r="G157" s="577" t="s">
        <v>35</v>
      </c>
      <c r="H157" s="549">
        <v>1375.5909999999999</v>
      </c>
      <c r="I157" s="550">
        <v>406.6431</v>
      </c>
      <c r="J157" s="571" t="s">
        <v>35</v>
      </c>
      <c r="K157" s="572" t="s">
        <v>35</v>
      </c>
      <c r="L157" s="571" t="s">
        <v>35</v>
      </c>
      <c r="M157" s="572" t="s">
        <v>35</v>
      </c>
      <c r="N157" s="575">
        <v>-39.080793999999997</v>
      </c>
      <c r="O157" s="576">
        <v>-0.99</v>
      </c>
      <c r="P157" s="576">
        <v>39.533656999999998</v>
      </c>
      <c r="Q157" s="684">
        <f>E157/$E$156</f>
        <v>0.26506024096385544</v>
      </c>
      <c r="R157" s="2317">
        <f>SUMPRODUCT(N157:N159,Q157:Q159)</f>
        <v>-2.0805074457831321</v>
      </c>
      <c r="S157" s="667" t="s">
        <v>858</v>
      </c>
      <c r="T157" s="499" t="s">
        <v>859</v>
      </c>
      <c r="U157" s="470"/>
      <c r="V157" s="2382"/>
      <c r="W157" s="92" t="s">
        <v>174</v>
      </c>
      <c r="X157" s="583" t="s">
        <v>1094</v>
      </c>
      <c r="Y157" s="826">
        <f>((14*$R$156)+(36000*$R$155)+$R$157+$T$162)*1.2</f>
        <v>1544.9312142650601</v>
      </c>
      <c r="Z157" s="826">
        <f t="shared" si="2"/>
        <v>276.3803591999997</v>
      </c>
      <c r="AA157" s="827">
        <f>(14-13)*$P$156</f>
        <v>13.6601833</v>
      </c>
      <c r="AB157" s="582"/>
      <c r="AC157" s="525"/>
      <c r="AD157" s="524"/>
      <c r="AE157" s="525"/>
      <c r="AF157" s="573" t="s">
        <v>174</v>
      </c>
      <c r="AG157" s="583" t="s">
        <v>1094</v>
      </c>
      <c r="AH157" s="681">
        <f t="shared" si="3"/>
        <v>1544.9312142650601</v>
      </c>
      <c r="AI157" s="681"/>
      <c r="AJ157" s="681">
        <v>2412</v>
      </c>
      <c r="AK157" s="681">
        <f>731*3</f>
        <v>2193</v>
      </c>
      <c r="AL157" s="477"/>
      <c r="AM157" s="477"/>
      <c r="AN157" s="664"/>
      <c r="AO157" s="477"/>
      <c r="AP157" s="685"/>
      <c r="AQ157" s="477"/>
      <c r="AR157" s="477"/>
      <c r="AS157" s="477"/>
      <c r="AT157" s="477"/>
      <c r="AU157" s="477"/>
      <c r="AV157" s="477"/>
      <c r="AW157" s="477"/>
      <c r="AX157" s="477"/>
      <c r="AY157" s="477"/>
      <c r="AZ157" s="477"/>
      <c r="BA157" s="477"/>
      <c r="BB157" s="477"/>
      <c r="BC157" s="477"/>
      <c r="BD157" s="477"/>
      <c r="BE157" s="477"/>
      <c r="BF157" s="477"/>
      <c r="BG157" s="477"/>
      <c r="BH157" s="432"/>
      <c r="DI157" s="848"/>
    </row>
    <row r="158" spans="1:123" s="331" customFormat="1" ht="15" customHeight="1">
      <c r="A158" s="2291"/>
      <c r="B158" s="2273"/>
      <c r="C158" s="2318"/>
      <c r="D158" s="837" t="s">
        <v>1045</v>
      </c>
      <c r="E158" s="809">
        <v>25</v>
      </c>
      <c r="F158" s="577" t="s">
        <v>35</v>
      </c>
      <c r="G158" s="577" t="s">
        <v>35</v>
      </c>
      <c r="H158" s="549">
        <v>1491.296</v>
      </c>
      <c r="I158" s="550">
        <v>431.91590000000002</v>
      </c>
      <c r="J158" s="571" t="s">
        <v>35</v>
      </c>
      <c r="K158" s="572" t="s">
        <v>35</v>
      </c>
      <c r="L158" s="571" t="s">
        <v>35</v>
      </c>
      <c r="M158" s="572" t="s">
        <v>35</v>
      </c>
      <c r="N158" s="575">
        <v>27.483813999999999</v>
      </c>
      <c r="O158" s="576">
        <v>0.73</v>
      </c>
      <c r="P158" s="576">
        <v>37.799237699999999</v>
      </c>
      <c r="Q158" s="684">
        <f>E158/$E$156</f>
        <v>0.30120481927710846</v>
      </c>
      <c r="R158" s="2317"/>
      <c r="S158" s="748" t="s">
        <v>310</v>
      </c>
      <c r="T158" s="749" t="s">
        <v>1019</v>
      </c>
      <c r="U158" s="591"/>
      <c r="V158" s="2382"/>
      <c r="W158" s="92" t="s">
        <v>174</v>
      </c>
      <c r="X158" s="583" t="s">
        <v>1095</v>
      </c>
      <c r="Y158" s="826">
        <f>((15*$R$156)+(36000*$R$155)+$R$157+$T$162)*1.2</f>
        <v>1821.3115734650605</v>
      </c>
      <c r="Z158" s="826">
        <f t="shared" si="2"/>
        <v>552.76071840000009</v>
      </c>
      <c r="AA158" s="827">
        <f>(15-13)*$P$156</f>
        <v>27.3203666</v>
      </c>
      <c r="AB158" s="582"/>
      <c r="AC158" s="525"/>
      <c r="AD158" s="524"/>
      <c r="AE158" s="525"/>
      <c r="AF158" s="573" t="s">
        <v>174</v>
      </c>
      <c r="AG158" s="583" t="s">
        <v>1095</v>
      </c>
      <c r="AH158" s="681">
        <f t="shared" si="3"/>
        <v>1821.3115734650605</v>
      </c>
      <c r="AI158" s="681"/>
      <c r="AJ158" s="681"/>
      <c r="AK158" s="681">
        <f>850*3</f>
        <v>2550</v>
      </c>
      <c r="AL158" s="477"/>
      <c r="AM158" s="477"/>
      <c r="AN158" s="664"/>
      <c r="AO158" s="477"/>
      <c r="AP158" s="685"/>
      <c r="AQ158" s="477"/>
      <c r="AR158" s="477"/>
      <c r="AS158" s="477"/>
      <c r="AT158" s="477"/>
      <c r="AU158" s="477"/>
      <c r="AV158" s="477"/>
      <c r="AW158" s="477"/>
      <c r="AX158" s="477"/>
      <c r="AY158" s="477"/>
      <c r="AZ158" s="477"/>
      <c r="BA158" s="477"/>
      <c r="BB158" s="477"/>
      <c r="BC158" s="477"/>
      <c r="BD158" s="477"/>
      <c r="BE158" s="477"/>
      <c r="BF158" s="477"/>
      <c r="BG158" s="477"/>
      <c r="BH158" s="432"/>
      <c r="DI158" s="848"/>
    </row>
    <row r="159" spans="1:123" s="331" customFormat="1" ht="15" customHeight="1">
      <c r="A159" s="2291"/>
      <c r="B159" s="2273"/>
      <c r="C159" s="2318"/>
      <c r="D159" s="837" t="s">
        <v>1048</v>
      </c>
      <c r="E159" s="809">
        <v>36</v>
      </c>
      <c r="F159" s="577" t="s">
        <v>35</v>
      </c>
      <c r="G159" s="577" t="s">
        <v>35</v>
      </c>
      <c r="H159" s="549">
        <v>1472.1389999999999</v>
      </c>
      <c r="I159" s="550">
        <v>455.8442</v>
      </c>
      <c r="J159" s="571" t="s">
        <v>35</v>
      </c>
      <c r="K159" s="572" t="s">
        <v>35</v>
      </c>
      <c r="L159" s="571" t="s">
        <v>35</v>
      </c>
      <c r="M159" s="572" t="s">
        <v>35</v>
      </c>
      <c r="N159" s="575">
        <v>0</v>
      </c>
      <c r="O159" s="576" t="s">
        <v>926</v>
      </c>
      <c r="P159" s="576" t="s">
        <v>926</v>
      </c>
      <c r="Q159" s="684">
        <f>E159/$E$156</f>
        <v>0.43373493975903615</v>
      </c>
      <c r="R159" s="2317"/>
      <c r="S159" s="667" t="s">
        <v>868</v>
      </c>
      <c r="T159" s="637" t="s">
        <v>869</v>
      </c>
      <c r="U159" s="560"/>
      <c r="V159" s="2382"/>
      <c r="W159" s="92" t="s">
        <v>174</v>
      </c>
      <c r="X159" s="583" t="s">
        <v>1096</v>
      </c>
      <c r="Y159" s="826">
        <f>((16*$R$156)+(36000*$R$155)+$R$157+$T$162)*1.2</f>
        <v>2097.69193266506</v>
      </c>
      <c r="Z159" s="826">
        <f t="shared" si="2"/>
        <v>829.14107759999956</v>
      </c>
      <c r="AA159" s="827">
        <f>(16-13)*$P$156</f>
        <v>40.9805499</v>
      </c>
      <c r="AB159" s="582"/>
      <c r="AC159" s="525"/>
      <c r="AD159" s="524"/>
      <c r="AE159" s="525"/>
      <c r="AF159" s="573" t="s">
        <v>174</v>
      </c>
      <c r="AG159" s="583" t="s">
        <v>1096</v>
      </c>
      <c r="AH159" s="681">
        <f t="shared" si="3"/>
        <v>2097.69193266506</v>
      </c>
      <c r="AI159" s="681"/>
      <c r="AJ159" s="681"/>
      <c r="AK159" s="681">
        <f>969*3</f>
        <v>2907</v>
      </c>
      <c r="AL159" s="477"/>
      <c r="AM159" s="477"/>
      <c r="AN159" s="664"/>
      <c r="AO159" s="477"/>
      <c r="AP159" s="685"/>
      <c r="AQ159" s="477"/>
      <c r="AR159" s="477"/>
      <c r="AS159" s="477"/>
      <c r="AT159" s="477"/>
      <c r="AU159" s="477"/>
      <c r="AV159" s="477"/>
      <c r="AW159" s="477"/>
      <c r="AX159" s="477"/>
      <c r="AY159" s="477"/>
      <c r="AZ159" s="477"/>
      <c r="BA159" s="477"/>
      <c r="BB159" s="477"/>
      <c r="BC159" s="477"/>
      <c r="BD159" s="477"/>
      <c r="BE159" s="477"/>
      <c r="BF159" s="477"/>
      <c r="BG159" s="477"/>
      <c r="BH159" s="432"/>
      <c r="DI159" s="848"/>
    </row>
    <row r="160" spans="1:123" s="331" customFormat="1" ht="15" customHeight="1">
      <c r="A160" s="2291"/>
      <c r="B160" s="849" t="s">
        <v>1097</v>
      </c>
      <c r="C160" s="817" t="s">
        <v>35</v>
      </c>
      <c r="D160" s="585" t="s">
        <v>35</v>
      </c>
      <c r="E160" s="585" t="s">
        <v>35</v>
      </c>
      <c r="F160" s="577" t="s">
        <v>35</v>
      </c>
      <c r="G160" s="577" t="s">
        <v>35</v>
      </c>
      <c r="H160" s="585" t="s">
        <v>35</v>
      </c>
      <c r="I160" s="572" t="s">
        <v>35</v>
      </c>
      <c r="J160" s="818" t="s">
        <v>853</v>
      </c>
      <c r="K160" s="850" t="s">
        <v>1098</v>
      </c>
      <c r="L160" s="571" t="s">
        <v>35</v>
      </c>
      <c r="M160" s="572" t="s">
        <v>35</v>
      </c>
      <c r="N160" s="820" t="s">
        <v>35</v>
      </c>
      <c r="O160" s="821" t="s">
        <v>35</v>
      </c>
      <c r="P160" s="821" t="s">
        <v>35</v>
      </c>
      <c r="Q160" s="577" t="s">
        <v>35</v>
      </c>
      <c r="R160" s="577" t="s">
        <v>35</v>
      </c>
      <c r="S160" s="568">
        <f>E156</f>
        <v>83</v>
      </c>
      <c r="T160" s="488" t="s">
        <v>35</v>
      </c>
      <c r="U160" s="452"/>
      <c r="V160" s="2382"/>
      <c r="W160" s="92" t="s">
        <v>174</v>
      </c>
      <c r="X160" s="583" t="s">
        <v>1099</v>
      </c>
      <c r="Y160" s="826">
        <f>((17*$R$156)+(36000*$R$155)+$R$157+$T$162)*1.2</f>
        <v>2374.0722918650604</v>
      </c>
      <c r="Z160" s="826">
        <f t="shared" si="2"/>
        <v>1105.5214367999999</v>
      </c>
      <c r="AA160" s="827">
        <f>(17-13)*$P$156</f>
        <v>54.6407332</v>
      </c>
      <c r="AB160" s="582"/>
      <c r="AC160" s="525"/>
      <c r="AD160" s="524"/>
      <c r="AE160" s="525"/>
      <c r="AF160" s="573" t="s">
        <v>174</v>
      </c>
      <c r="AG160" s="583" t="s">
        <v>1099</v>
      </c>
      <c r="AH160" s="681">
        <f t="shared" si="3"/>
        <v>2374.0722918650604</v>
      </c>
      <c r="AI160" s="681"/>
      <c r="AJ160" s="681"/>
      <c r="AK160" s="681">
        <f>1088*3</f>
        <v>3264</v>
      </c>
      <c r="AL160" s="477"/>
      <c r="AM160" s="477"/>
      <c r="AN160" s="664"/>
      <c r="AO160" s="477"/>
      <c r="AP160" s="685"/>
      <c r="AQ160" s="477"/>
      <c r="AR160" s="477"/>
      <c r="AS160" s="477"/>
      <c r="AT160" s="477"/>
      <c r="AU160" s="477"/>
      <c r="AV160" s="477"/>
      <c r="AW160" s="477"/>
      <c r="AX160" s="477"/>
      <c r="AY160" s="477"/>
      <c r="AZ160" s="477"/>
      <c r="BA160" s="477"/>
      <c r="BB160" s="477"/>
      <c r="BC160" s="477"/>
      <c r="BD160" s="477"/>
      <c r="BE160" s="477"/>
      <c r="BF160" s="477"/>
      <c r="BG160" s="477"/>
      <c r="BH160" s="432"/>
      <c r="DI160" s="848"/>
    </row>
    <row r="161" spans="1:113" s="331" customFormat="1" ht="15" customHeight="1">
      <c r="A161" s="2291"/>
      <c r="B161" s="851" t="s">
        <v>1100</v>
      </c>
      <c r="C161" s="817" t="s">
        <v>35</v>
      </c>
      <c r="D161" s="585" t="s">
        <v>35</v>
      </c>
      <c r="E161" s="585" t="s">
        <v>35</v>
      </c>
      <c r="F161" s="577" t="s">
        <v>35</v>
      </c>
      <c r="G161" s="577" t="s">
        <v>35</v>
      </c>
      <c r="H161" s="585" t="s">
        <v>35</v>
      </c>
      <c r="I161" s="572" t="s">
        <v>35</v>
      </c>
      <c r="J161" s="818" t="s">
        <v>853</v>
      </c>
      <c r="K161" s="850" t="s">
        <v>1101</v>
      </c>
      <c r="L161" s="571" t="s">
        <v>35</v>
      </c>
      <c r="M161" s="572" t="s">
        <v>35</v>
      </c>
      <c r="N161" s="820" t="s">
        <v>35</v>
      </c>
      <c r="O161" s="821" t="s">
        <v>35</v>
      </c>
      <c r="P161" s="821" t="s">
        <v>35</v>
      </c>
      <c r="Q161" s="577" t="s">
        <v>35</v>
      </c>
      <c r="R161" s="577" t="s">
        <v>35</v>
      </c>
      <c r="S161" s="667" t="s">
        <v>876</v>
      </c>
      <c r="T161" s="637" t="s">
        <v>877</v>
      </c>
      <c r="U161" s="560"/>
      <c r="V161" s="2382"/>
      <c r="W161" s="92" t="s">
        <v>174</v>
      </c>
      <c r="X161" s="583" t="s">
        <v>1102</v>
      </c>
      <c r="Y161" s="826">
        <f>((18*$R$156)+(36000*$R$155)+$R$157+$T$162)*1.2</f>
        <v>2650.4526510650608</v>
      </c>
      <c r="Z161" s="826">
        <f t="shared" si="2"/>
        <v>1381.9017960000003</v>
      </c>
      <c r="AA161" s="827">
        <f>(18-13)*$P$156</f>
        <v>68.3009165</v>
      </c>
      <c r="AB161" s="582"/>
      <c r="AC161" s="525"/>
      <c r="AD161" s="524"/>
      <c r="AE161" s="525"/>
      <c r="AF161" s="573" t="s">
        <v>174</v>
      </c>
      <c r="AG161" s="583" t="s">
        <v>1102</v>
      </c>
      <c r="AH161" s="681">
        <f t="shared" si="3"/>
        <v>2650.4526510650608</v>
      </c>
      <c r="AI161" s="681"/>
      <c r="AJ161" s="681"/>
      <c r="AK161" s="681">
        <f>1208*3</f>
        <v>3624</v>
      </c>
      <c r="AL161" s="477"/>
      <c r="AM161" s="477"/>
      <c r="AN161" s="664"/>
      <c r="AO161" s="477"/>
      <c r="AP161" s="685"/>
      <c r="AQ161" s="477"/>
      <c r="AR161" s="477"/>
      <c r="AS161" s="477"/>
      <c r="AT161" s="477"/>
      <c r="AU161" s="477"/>
      <c r="AV161" s="477"/>
      <c r="AW161" s="477"/>
      <c r="AX161" s="477"/>
      <c r="AY161" s="477"/>
      <c r="AZ161" s="477"/>
      <c r="BA161" s="477"/>
      <c r="BB161" s="477"/>
      <c r="BC161" s="477"/>
      <c r="BD161" s="477"/>
      <c r="BE161" s="477"/>
      <c r="BF161" s="477"/>
      <c r="BG161" s="477"/>
      <c r="BH161" s="432"/>
      <c r="DI161" s="848"/>
    </row>
    <row r="162" spans="1:113" s="844" customFormat="1" ht="28.8">
      <c r="A162" s="2291"/>
      <c r="B162" s="851" t="s">
        <v>1103</v>
      </c>
      <c r="C162" s="852" t="s">
        <v>35</v>
      </c>
      <c r="D162" s="501" t="s">
        <v>35</v>
      </c>
      <c r="E162" s="501" t="s">
        <v>35</v>
      </c>
      <c r="F162" s="485" t="s">
        <v>35</v>
      </c>
      <c r="G162" s="485" t="s">
        <v>35</v>
      </c>
      <c r="H162" s="501" t="s">
        <v>35</v>
      </c>
      <c r="I162" s="697" t="s">
        <v>35</v>
      </c>
      <c r="J162" s="853" t="s">
        <v>855</v>
      </c>
      <c r="K162" s="854" t="s">
        <v>1104</v>
      </c>
      <c r="L162" s="834" t="s">
        <v>35</v>
      </c>
      <c r="M162" s="697" t="s">
        <v>35</v>
      </c>
      <c r="N162" s="528" t="s">
        <v>35</v>
      </c>
      <c r="O162" s="529" t="s">
        <v>35</v>
      </c>
      <c r="P162" s="529" t="s">
        <v>35</v>
      </c>
      <c r="Q162" s="485" t="s">
        <v>35</v>
      </c>
      <c r="R162" s="485" t="s">
        <v>35</v>
      </c>
      <c r="S162" s="833">
        <v>0.89336400000000005</v>
      </c>
      <c r="T162" s="855">
        <v>-2762.9503380000001</v>
      </c>
      <c r="U162" s="856"/>
      <c r="V162" s="2382"/>
      <c r="W162" s="177" t="s">
        <v>174</v>
      </c>
      <c r="X162" s="837" t="s">
        <v>1105</v>
      </c>
      <c r="Y162" s="826">
        <f>((19*$R$156)+(36000*$R$155)+$R$157+$T$162)*1.2</f>
        <v>2926.8330102650598</v>
      </c>
      <c r="Z162" s="826">
        <f t="shared" si="2"/>
        <v>1658.2821551999994</v>
      </c>
      <c r="AA162" s="827">
        <f>(19-13)*$P$156</f>
        <v>81.9610998</v>
      </c>
      <c r="AB162" s="582"/>
      <c r="AC162" s="802"/>
      <c r="AD162" s="708"/>
      <c r="AE162" s="802"/>
      <c r="AF162" s="495" t="s">
        <v>174</v>
      </c>
      <c r="AG162" s="837" t="s">
        <v>1105</v>
      </c>
      <c r="AH162" s="681">
        <f t="shared" si="3"/>
        <v>2926.8330102650598</v>
      </c>
      <c r="AI162" s="842"/>
      <c r="AJ162" s="842"/>
      <c r="AK162" s="681">
        <f>1327*3</f>
        <v>3981</v>
      </c>
      <c r="AL162" s="783"/>
      <c r="AM162" s="783"/>
      <c r="AN162" s="664"/>
      <c r="AO162" s="477"/>
      <c r="AP162" s="685"/>
      <c r="AQ162" s="783"/>
      <c r="AR162" s="783"/>
      <c r="AS162" s="783"/>
      <c r="AT162" s="783"/>
      <c r="AU162" s="783"/>
      <c r="AV162" s="783"/>
      <c r="AW162" s="783"/>
      <c r="AX162" s="783"/>
      <c r="AY162" s="783"/>
      <c r="AZ162" s="783"/>
      <c r="BA162" s="783"/>
      <c r="BB162" s="783"/>
      <c r="BC162" s="783"/>
      <c r="BD162" s="783"/>
      <c r="BE162" s="783"/>
      <c r="BF162" s="783"/>
      <c r="BG162" s="783"/>
      <c r="BH162" s="843"/>
      <c r="DI162" s="845"/>
    </row>
    <row r="163" spans="1:113" s="331" customFormat="1" ht="15" customHeight="1">
      <c r="A163" s="2291"/>
      <c r="B163" s="2340" t="s">
        <v>1021</v>
      </c>
      <c r="C163" s="857"/>
      <c r="D163" s="802"/>
      <c r="E163" s="858"/>
      <c r="F163" s="859"/>
      <c r="G163" s="859"/>
      <c r="H163" s="858"/>
      <c r="I163" s="858"/>
      <c r="J163" s="860"/>
      <c r="K163" s="802"/>
      <c r="L163" s="860"/>
      <c r="M163" s="525"/>
      <c r="N163" s="758"/>
      <c r="O163" s="759"/>
      <c r="P163" s="759"/>
      <c r="Q163" s="605"/>
      <c r="R163" s="605"/>
      <c r="S163" s="498" t="s">
        <v>883</v>
      </c>
      <c r="T163" s="499" t="s">
        <v>884</v>
      </c>
      <c r="U163" s="470"/>
      <c r="V163" s="2382"/>
      <c r="W163" s="92" t="s">
        <v>174</v>
      </c>
      <c r="X163" s="583" t="s">
        <v>1106</v>
      </c>
      <c r="Y163" s="826">
        <f>((20*$R$156)+(36000*$R$155)+$R$157+$T$162)*1.2</f>
        <v>3203.2133694650602</v>
      </c>
      <c r="Z163" s="826">
        <f t="shared" si="2"/>
        <v>1934.6625143999997</v>
      </c>
      <c r="AA163" s="827">
        <f>(20-13)*$P$156</f>
        <v>95.621283099999999</v>
      </c>
      <c r="AB163" s="582"/>
      <c r="AC163" s="525"/>
      <c r="AD163" s="524"/>
      <c r="AE163" s="525"/>
      <c r="AF163" s="573" t="s">
        <v>174</v>
      </c>
      <c r="AG163" s="583" t="s">
        <v>1106</v>
      </c>
      <c r="AH163" s="681">
        <f t="shared" si="3"/>
        <v>3203.2133694650602</v>
      </c>
      <c r="AI163" s="681"/>
      <c r="AJ163" s="681"/>
      <c r="AK163" s="681">
        <f>1446*3</f>
        <v>4338</v>
      </c>
      <c r="AL163" s="477"/>
      <c r="AM163" s="477"/>
      <c r="AN163" s="664"/>
      <c r="AO163" s="477"/>
      <c r="AP163" s="685"/>
      <c r="AQ163" s="477"/>
      <c r="AR163" s="477"/>
      <c r="AS163" s="477"/>
      <c r="AT163" s="477"/>
      <c r="AU163" s="477"/>
      <c r="AV163" s="477"/>
      <c r="AW163" s="477"/>
      <c r="AX163" s="477"/>
      <c r="AY163" s="477"/>
      <c r="AZ163" s="477"/>
      <c r="BA163" s="477"/>
      <c r="BB163" s="477"/>
      <c r="BC163" s="477"/>
      <c r="BD163" s="477"/>
      <c r="BE163" s="477"/>
      <c r="BF163" s="477"/>
      <c r="BG163" s="477"/>
      <c r="BH163" s="432"/>
      <c r="DI163" s="848"/>
    </row>
    <row r="164" spans="1:113" s="331" customFormat="1" ht="15" customHeight="1">
      <c r="A164" s="2291"/>
      <c r="B164" s="2280"/>
      <c r="C164" s="858"/>
      <c r="D164" s="802"/>
      <c r="E164" s="858"/>
      <c r="F164" s="859"/>
      <c r="G164" s="859"/>
      <c r="H164" s="858"/>
      <c r="I164" s="858"/>
      <c r="J164" s="860"/>
      <c r="K164" s="802"/>
      <c r="L164" s="860"/>
      <c r="M164" s="525"/>
      <c r="N164" s="758"/>
      <c r="O164" s="759"/>
      <c r="P164" s="759"/>
      <c r="Q164" s="605"/>
      <c r="R164" s="605"/>
      <c r="S164" s="568">
        <v>106.60299999999999</v>
      </c>
      <c r="T164" s="824">
        <v>0.2</v>
      </c>
      <c r="U164" s="825"/>
      <c r="V164" s="2382"/>
      <c r="W164" s="92" t="s">
        <v>174</v>
      </c>
      <c r="X164" s="583" t="s">
        <v>1107</v>
      </c>
      <c r="Y164" s="826">
        <f>((21*$R$156)+(36000*$R$155)+$R$157+$T$162)*1.2</f>
        <v>3479.5937286650606</v>
      </c>
      <c r="Z164" s="826">
        <f t="shared" si="2"/>
        <v>2211.0428736000003</v>
      </c>
      <c r="AA164" s="827">
        <f>(21-13)*$P$156</f>
        <v>109.2814664</v>
      </c>
      <c r="AB164" s="582"/>
      <c r="AC164" s="525"/>
      <c r="AD164" s="524"/>
      <c r="AE164" s="525"/>
      <c r="AF164" s="573" t="s">
        <v>174</v>
      </c>
      <c r="AG164" s="583" t="s">
        <v>1107</v>
      </c>
      <c r="AH164" s="681">
        <f t="shared" si="3"/>
        <v>3479.5937286650606</v>
      </c>
      <c r="AI164" s="681"/>
      <c r="AJ164" s="681"/>
      <c r="AK164" s="681">
        <f>1520.17*3</f>
        <v>4560.51</v>
      </c>
      <c r="AL164" s="477"/>
      <c r="AM164" s="477"/>
      <c r="AN164" s="664"/>
      <c r="AO164" s="477"/>
      <c r="AP164" s="685"/>
      <c r="AQ164" s="477"/>
      <c r="AR164" s="477"/>
      <c r="AS164" s="477"/>
      <c r="AT164" s="477"/>
      <c r="AU164" s="477"/>
      <c r="AV164" s="477"/>
      <c r="AW164" s="477"/>
      <c r="AX164" s="477"/>
      <c r="AY164" s="477"/>
      <c r="AZ164" s="477"/>
      <c r="BA164" s="477"/>
      <c r="BB164" s="477"/>
      <c r="BC164" s="477"/>
      <c r="BD164" s="477"/>
      <c r="BE164" s="477"/>
      <c r="BF164" s="477"/>
      <c r="BG164" s="477"/>
      <c r="BH164" s="432"/>
      <c r="DI164" s="848"/>
    </row>
    <row r="165" spans="1:113" s="331" customFormat="1" ht="15" customHeight="1">
      <c r="A165" s="2291"/>
      <c r="B165" s="2280"/>
      <c r="C165" s="858"/>
      <c r="D165" s="802"/>
      <c r="E165" s="858"/>
      <c r="F165" s="859"/>
      <c r="G165" s="859"/>
      <c r="H165" s="858"/>
      <c r="I165" s="858"/>
      <c r="J165" s="860"/>
      <c r="K165" s="802"/>
      <c r="L165" s="860"/>
      <c r="M165" s="525"/>
      <c r="N165" s="758"/>
      <c r="O165" s="759"/>
      <c r="P165" s="759"/>
      <c r="Q165" s="605"/>
      <c r="R165" s="605"/>
      <c r="S165" s="861"/>
      <c r="T165" s="862"/>
      <c r="U165" s="825"/>
      <c r="V165" s="2382"/>
      <c r="W165" s="92" t="s">
        <v>175</v>
      </c>
      <c r="X165" s="583" t="s">
        <v>1108</v>
      </c>
      <c r="Y165" s="826">
        <f>((13*$R$156)+(24000*$R$155)+$R$157+$T$162)*1.2</f>
        <v>937.33645506506014</v>
      </c>
      <c r="Z165" s="826" t="s">
        <v>918</v>
      </c>
      <c r="AA165" s="827" t="s">
        <v>918</v>
      </c>
      <c r="AB165" s="582"/>
      <c r="AC165" s="525"/>
      <c r="AD165" s="524"/>
      <c r="AE165" s="525"/>
      <c r="AF165" s="757"/>
      <c r="AG165" s="525"/>
      <c r="AH165" s="477"/>
      <c r="AI165" s="477"/>
      <c r="AJ165" s="477"/>
      <c r="AK165" s="477"/>
      <c r="AL165" s="477"/>
      <c r="AM165" s="477"/>
      <c r="AN165" s="477"/>
      <c r="AO165" s="477"/>
      <c r="AP165" s="477"/>
      <c r="AQ165" s="477"/>
      <c r="AR165" s="477"/>
      <c r="AS165" s="477"/>
      <c r="AT165" s="477"/>
      <c r="AU165" s="477"/>
      <c r="AV165" s="477"/>
      <c r="AW165" s="477"/>
      <c r="AX165" s="477"/>
      <c r="AY165" s="477"/>
      <c r="AZ165" s="477"/>
      <c r="BA165" s="477"/>
      <c r="BB165" s="477"/>
      <c r="BC165" s="477"/>
      <c r="BD165" s="477"/>
      <c r="BE165" s="477"/>
      <c r="BF165" s="477"/>
      <c r="BG165" s="477"/>
      <c r="BH165" s="432"/>
      <c r="DI165" s="848"/>
    </row>
    <row r="166" spans="1:113" s="331" customFormat="1" ht="15" customHeight="1">
      <c r="A166" s="2291"/>
      <c r="B166" s="2280"/>
      <c r="C166" s="858"/>
      <c r="D166" s="802"/>
      <c r="E166" s="858"/>
      <c r="F166" s="859"/>
      <c r="G166" s="859"/>
      <c r="H166" s="858"/>
      <c r="I166" s="858"/>
      <c r="J166" s="860"/>
      <c r="K166" s="802"/>
      <c r="L166" s="860"/>
      <c r="M166" s="525"/>
      <c r="N166" s="758"/>
      <c r="O166" s="759"/>
      <c r="P166" s="759"/>
      <c r="Q166" s="605"/>
      <c r="R166" s="605"/>
      <c r="S166" s="863"/>
      <c r="T166" s="862"/>
      <c r="U166" s="825"/>
      <c r="V166" s="2382"/>
      <c r="W166" s="92" t="s">
        <v>174</v>
      </c>
      <c r="X166" s="583" t="s">
        <v>1108</v>
      </c>
      <c r="Y166" s="826">
        <f>((13*$R$156)+(24000*$R$155)+$R$157+$T$162)*1.2</f>
        <v>937.33645506506014</v>
      </c>
      <c r="Z166" s="826">
        <f>Y166-$Y$165</f>
        <v>0</v>
      </c>
      <c r="AA166" s="827">
        <f>(13-13)*$P$156</f>
        <v>0</v>
      </c>
      <c r="AB166" s="582"/>
      <c r="AC166" s="525"/>
      <c r="AD166" s="524"/>
      <c r="AE166" s="525"/>
      <c r="AF166" s="757"/>
      <c r="AG166" s="525"/>
      <c r="AH166" s="477"/>
      <c r="AI166" s="477"/>
      <c r="AJ166" s="477"/>
      <c r="AK166" s="477"/>
      <c r="AL166" s="477"/>
      <c r="AM166" s="477"/>
      <c r="AN166" s="477"/>
      <c r="AO166" s="477"/>
      <c r="AP166" s="477"/>
      <c r="AQ166" s="477"/>
      <c r="AR166" s="477"/>
      <c r="AS166" s="477"/>
      <c r="AT166" s="477"/>
      <c r="AU166" s="477"/>
      <c r="AV166" s="477"/>
      <c r="AW166" s="477"/>
      <c r="AX166" s="477"/>
      <c r="AY166" s="477"/>
      <c r="AZ166" s="477"/>
      <c r="BA166" s="477"/>
      <c r="BB166" s="477"/>
      <c r="BC166" s="477"/>
      <c r="BD166" s="477"/>
      <c r="BE166" s="477"/>
      <c r="BF166" s="477"/>
      <c r="BG166" s="477"/>
      <c r="BH166" s="432"/>
      <c r="DI166" s="848"/>
    </row>
    <row r="167" spans="1:113" s="331" customFormat="1" ht="15" customHeight="1">
      <c r="A167" s="2291"/>
      <c r="B167" s="2280"/>
      <c r="C167" s="858"/>
      <c r="D167" s="802"/>
      <c r="E167" s="858"/>
      <c r="F167" s="859"/>
      <c r="G167" s="859"/>
      <c r="H167" s="858"/>
      <c r="I167" s="858"/>
      <c r="J167" s="860"/>
      <c r="K167" s="802"/>
      <c r="L167" s="860"/>
      <c r="M167" s="525"/>
      <c r="N167" s="758"/>
      <c r="O167" s="759"/>
      <c r="P167" s="759"/>
      <c r="Q167" s="605"/>
      <c r="R167" s="605"/>
      <c r="S167" s="863"/>
      <c r="T167" s="862"/>
      <c r="U167" s="825"/>
      <c r="V167" s="2382"/>
      <c r="W167" s="92" t="s">
        <v>174</v>
      </c>
      <c r="X167" s="583" t="s">
        <v>1109</v>
      </c>
      <c r="Y167" s="826">
        <f>((14*$R$156)+(24000*$R$155)+$R$157+$T$162)*1.2</f>
        <v>1213.7168142650601</v>
      </c>
      <c r="Z167" s="826">
        <f>Y167-$Y$165</f>
        <v>276.38035919999993</v>
      </c>
      <c r="AA167" s="827">
        <f>(14-13)*$P$156</f>
        <v>13.6601833</v>
      </c>
      <c r="AB167" s="582"/>
      <c r="AC167" s="525"/>
      <c r="AD167" s="524"/>
      <c r="AE167" s="525"/>
      <c r="AF167" s="757"/>
      <c r="AG167" s="525"/>
      <c r="AH167" s="477"/>
      <c r="AI167" s="477"/>
      <c r="AJ167" s="477"/>
      <c r="AK167" s="477"/>
      <c r="AL167" s="477"/>
      <c r="AM167" s="477"/>
      <c r="AN167" s="477"/>
      <c r="AO167" s="477"/>
      <c r="AP167" s="477"/>
      <c r="AQ167" s="477"/>
      <c r="AR167" s="477"/>
      <c r="AS167" s="477"/>
      <c r="AT167" s="477"/>
      <c r="AU167" s="477"/>
      <c r="AV167" s="477"/>
      <c r="AW167" s="477"/>
      <c r="AX167" s="477"/>
      <c r="AY167" s="477"/>
      <c r="AZ167" s="477"/>
      <c r="BA167" s="477"/>
      <c r="BB167" s="477"/>
      <c r="BC167" s="477"/>
      <c r="BD167" s="477"/>
      <c r="BE167" s="477"/>
      <c r="BF167" s="477"/>
      <c r="BG167" s="477"/>
      <c r="BH167" s="432"/>
      <c r="DI167" s="848"/>
    </row>
    <row r="168" spans="1:113" s="331" customFormat="1" ht="15" customHeight="1">
      <c r="A168" s="2291"/>
      <c r="B168" s="2280"/>
      <c r="C168" s="858"/>
      <c r="D168" s="802"/>
      <c r="E168" s="858"/>
      <c r="F168" s="859"/>
      <c r="G168" s="859"/>
      <c r="H168" s="858"/>
      <c r="I168" s="858"/>
      <c r="J168" s="860"/>
      <c r="K168" s="802"/>
      <c r="L168" s="860"/>
      <c r="M168" s="525"/>
      <c r="N168" s="758"/>
      <c r="O168" s="759"/>
      <c r="P168" s="759"/>
      <c r="Q168" s="605"/>
      <c r="R168" s="605"/>
      <c r="S168" s="863"/>
      <c r="T168" s="862"/>
      <c r="U168" s="825"/>
      <c r="V168" s="2382"/>
      <c r="W168" s="92" t="s">
        <v>175</v>
      </c>
      <c r="X168" s="583" t="s">
        <v>1110</v>
      </c>
      <c r="Y168" s="826">
        <f>((13*$R$156)+(60000*$R$155)+$R$157+$T$162)*1.2</f>
        <v>1930.9796550650601</v>
      </c>
      <c r="Z168" s="826" t="s">
        <v>918</v>
      </c>
      <c r="AA168" s="827" t="s">
        <v>918</v>
      </c>
      <c r="AB168" s="582"/>
      <c r="AC168" s="525"/>
      <c r="AD168" s="524"/>
      <c r="AE168" s="525"/>
      <c r="AF168" s="757"/>
      <c r="AG168" s="525"/>
      <c r="AH168" s="477"/>
      <c r="AI168" s="477"/>
      <c r="AJ168" s="477"/>
      <c r="AK168" s="477"/>
      <c r="AL168" s="477"/>
      <c r="AM168" s="477"/>
      <c r="AN168" s="477"/>
      <c r="AO168" s="477"/>
      <c r="AP168" s="477"/>
      <c r="AQ168" s="477"/>
      <c r="AR168" s="477"/>
      <c r="AS168" s="477"/>
      <c r="AT168" s="477"/>
      <c r="AU168" s="477"/>
      <c r="AV168" s="477"/>
      <c r="AW168" s="477"/>
      <c r="AX168" s="477"/>
      <c r="AY168" s="477"/>
      <c r="AZ168" s="477"/>
      <c r="BA168" s="477"/>
      <c r="BB168" s="477"/>
      <c r="BC168" s="477"/>
      <c r="BD168" s="477"/>
      <c r="BE168" s="477"/>
      <c r="BF168" s="477"/>
      <c r="BG168" s="477"/>
      <c r="BH168" s="432"/>
      <c r="DI168" s="848"/>
    </row>
    <row r="169" spans="1:113" s="331" customFormat="1" ht="15" customHeight="1">
      <c r="A169" s="2291"/>
      <c r="B169" s="2280"/>
      <c r="C169" s="858"/>
      <c r="D169" s="802"/>
      <c r="E169" s="858"/>
      <c r="F169" s="859"/>
      <c r="G169" s="859"/>
      <c r="H169" s="858"/>
      <c r="I169" s="858"/>
      <c r="J169" s="860"/>
      <c r="K169" s="802"/>
      <c r="L169" s="860"/>
      <c r="M169" s="525"/>
      <c r="N169" s="758"/>
      <c r="O169" s="759"/>
      <c r="P169" s="759"/>
      <c r="Q169" s="605"/>
      <c r="R169" s="605"/>
      <c r="S169" s="863"/>
      <c r="T169" s="862"/>
      <c r="U169" s="825"/>
      <c r="V169" s="2382"/>
      <c r="W169" s="92" t="s">
        <v>174</v>
      </c>
      <c r="X169" s="583" t="s">
        <v>1110</v>
      </c>
      <c r="Y169" s="826">
        <f>((13*$R$156)+(60000*$R$155)+$R$157+$T$162)*1.2</f>
        <v>1930.9796550650601</v>
      </c>
      <c r="Z169" s="826">
        <f>Y169-$Y$168</f>
        <v>0</v>
      </c>
      <c r="AA169" s="827">
        <f>(13-13)*$P$156</f>
        <v>0</v>
      </c>
      <c r="AB169" s="582"/>
      <c r="AC169" s="525"/>
      <c r="AD169" s="524"/>
      <c r="AE169" s="525"/>
      <c r="AF169" s="757"/>
      <c r="AG169" s="525"/>
      <c r="AH169" s="477"/>
      <c r="AI169" s="477"/>
      <c r="AJ169" s="477"/>
      <c r="AK169" s="477"/>
      <c r="AL169" s="477"/>
      <c r="AM169" s="477"/>
      <c r="AN169" s="477"/>
      <c r="AO169" s="477"/>
      <c r="AP169" s="477"/>
      <c r="AQ169" s="477"/>
      <c r="AR169" s="477"/>
      <c r="AS169" s="477"/>
      <c r="AT169" s="477"/>
      <c r="AU169" s="477"/>
      <c r="AV169" s="477"/>
      <c r="AW169" s="477"/>
      <c r="AX169" s="477"/>
      <c r="AY169" s="477"/>
      <c r="AZ169" s="477"/>
      <c r="BA169" s="477"/>
      <c r="BB169" s="477"/>
      <c r="BC169" s="477"/>
      <c r="BD169" s="477"/>
      <c r="BE169" s="477"/>
      <c r="BF169" s="477"/>
      <c r="BG169" s="477"/>
      <c r="BH169" s="432"/>
      <c r="DI169" s="848"/>
    </row>
    <row r="170" spans="1:113" s="331" customFormat="1" ht="15.75" customHeight="1">
      <c r="A170" s="2291"/>
      <c r="B170" s="2280"/>
      <c r="C170" s="864"/>
      <c r="D170" s="802"/>
      <c r="E170" s="858"/>
      <c r="F170" s="859"/>
      <c r="G170" s="859"/>
      <c r="H170" s="858"/>
      <c r="I170" s="858"/>
      <c r="J170" s="860"/>
      <c r="K170" s="802"/>
      <c r="L170" s="860"/>
      <c r="M170" s="525"/>
      <c r="N170" s="758"/>
      <c r="O170" s="759"/>
      <c r="P170" s="759"/>
      <c r="Q170" s="605"/>
      <c r="R170" s="605"/>
      <c r="S170" s="863"/>
      <c r="T170" s="862"/>
      <c r="U170" s="825"/>
      <c r="V170" s="2383"/>
      <c r="W170" s="745" t="s">
        <v>174</v>
      </c>
      <c r="X170" s="865" t="s">
        <v>1111</v>
      </c>
      <c r="Y170" s="826">
        <f>((14*$R$156)+(60000*$R$155)+$R$157+$T$162)*1.2</f>
        <v>2207.3600142650607</v>
      </c>
      <c r="Z170" s="826">
        <f>Y170-$Y$168</f>
        <v>276.38035920000061</v>
      </c>
      <c r="AA170" s="827">
        <f>(14-13)*$P$156</f>
        <v>13.6601833</v>
      </c>
      <c r="AB170" s="582"/>
      <c r="AC170" s="525"/>
      <c r="AD170" s="524"/>
      <c r="AE170" s="525"/>
      <c r="AF170" s="757"/>
      <c r="AG170" s="525"/>
      <c r="AH170" s="477"/>
      <c r="AI170" s="477"/>
      <c r="AJ170" s="477"/>
      <c r="AK170" s="477"/>
      <c r="AL170" s="477"/>
      <c r="AM170" s="477"/>
      <c r="AN170" s="477"/>
      <c r="AO170" s="477"/>
      <c r="AP170" s="477"/>
      <c r="AQ170" s="477"/>
      <c r="AR170" s="477"/>
      <c r="AS170" s="477"/>
      <c r="AT170" s="477"/>
      <c r="AU170" s="477"/>
      <c r="AV170" s="477"/>
      <c r="AW170" s="477"/>
      <c r="AX170" s="477"/>
      <c r="AY170" s="477"/>
      <c r="AZ170" s="477"/>
      <c r="BA170" s="477"/>
      <c r="BB170" s="477"/>
      <c r="BC170" s="477"/>
      <c r="BD170" s="477"/>
      <c r="BE170" s="477"/>
      <c r="BF170" s="477"/>
      <c r="BG170" s="477"/>
      <c r="BH170" s="432"/>
      <c r="DI170" s="848"/>
    </row>
    <row r="171" spans="1:113" s="331" customFormat="1">
      <c r="A171" s="2291"/>
      <c r="B171" s="2280"/>
      <c r="C171" s="864"/>
      <c r="D171" s="802"/>
      <c r="E171" s="858"/>
      <c r="F171" s="859"/>
      <c r="G171" s="859"/>
      <c r="H171" s="858"/>
      <c r="I171" s="858"/>
      <c r="J171" s="860"/>
      <c r="K171" s="802"/>
      <c r="L171" s="860"/>
      <c r="M171" s="525"/>
      <c r="N171" s="758"/>
      <c r="O171" s="759"/>
      <c r="P171" s="759"/>
      <c r="Q171" s="605"/>
      <c r="R171" s="605"/>
      <c r="S171" s="863"/>
      <c r="T171" s="862"/>
      <c r="U171" s="825"/>
      <c r="V171" s="520"/>
      <c r="W171" s="521"/>
      <c r="X171" s="521"/>
      <c r="Y171" s="866"/>
      <c r="Z171" s="866"/>
      <c r="AA171" s="867"/>
      <c r="AB171" s="582"/>
      <c r="AC171" s="525"/>
      <c r="AD171" s="524"/>
      <c r="AE171" s="868"/>
      <c r="AF171" s="757"/>
      <c r="AG171" s="525"/>
      <c r="AH171" s="477"/>
      <c r="AI171" s="477"/>
      <c r="AJ171" s="477"/>
      <c r="AK171" s="477"/>
      <c r="AL171" s="477"/>
      <c r="AM171" s="477"/>
      <c r="AN171" s="477"/>
      <c r="AO171" s="477"/>
      <c r="AP171" s="477"/>
      <c r="AQ171" s="477"/>
      <c r="AR171" s="477"/>
      <c r="AS171" s="477"/>
      <c r="AT171" s="477"/>
      <c r="AU171" s="477"/>
      <c r="AV171" s="477"/>
      <c r="AW171" s="477"/>
      <c r="AX171" s="477"/>
      <c r="AY171" s="477"/>
      <c r="AZ171" s="477"/>
      <c r="BA171" s="477"/>
      <c r="BB171" s="477"/>
      <c r="BC171" s="477"/>
      <c r="BD171" s="477"/>
      <c r="BE171" s="477"/>
      <c r="BF171" s="477"/>
      <c r="BG171" s="477"/>
      <c r="BH171" s="432"/>
      <c r="DI171" s="848"/>
    </row>
    <row r="172" spans="1:113" s="331" customFormat="1" ht="15" thickBot="1">
      <c r="A172" s="2292"/>
      <c r="B172" s="2281"/>
      <c r="C172" s="869"/>
      <c r="D172" s="802"/>
      <c r="E172" s="858"/>
      <c r="F172" s="859"/>
      <c r="G172" s="859"/>
      <c r="H172" s="858"/>
      <c r="I172" s="858"/>
      <c r="J172" s="860"/>
      <c r="K172" s="802"/>
      <c r="L172" s="860"/>
      <c r="M172" s="525"/>
      <c r="N172" s="758"/>
      <c r="O172" s="759"/>
      <c r="P172" s="759"/>
      <c r="Q172" s="605"/>
      <c r="R172" s="605"/>
      <c r="S172" s="870"/>
      <c r="T172" s="862"/>
      <c r="U172" s="825"/>
      <c r="V172" s="675"/>
      <c r="W172" s="676"/>
      <c r="X172" s="676"/>
      <c r="Y172" s="871"/>
      <c r="Z172" s="871"/>
      <c r="AA172" s="872"/>
      <c r="AB172" s="582"/>
      <c r="AC172" s="525"/>
      <c r="AD172" s="675"/>
      <c r="AE172" s="784"/>
      <c r="AF172" s="757"/>
      <c r="AG172" s="525"/>
      <c r="AH172" s="477"/>
      <c r="AI172" s="477"/>
      <c r="AJ172" s="477"/>
      <c r="AK172" s="477"/>
      <c r="AL172" s="477"/>
      <c r="AM172" s="477"/>
      <c r="AN172" s="477"/>
      <c r="AO172" s="477"/>
      <c r="AP172" s="477"/>
      <c r="AQ172" s="477"/>
      <c r="AR172" s="477"/>
      <c r="AS172" s="477"/>
      <c r="AT172" s="477"/>
      <c r="AU172" s="477"/>
      <c r="AV172" s="477"/>
      <c r="AW172" s="477"/>
      <c r="AX172" s="477"/>
      <c r="AY172" s="477"/>
      <c r="AZ172" s="477"/>
      <c r="BA172" s="477"/>
      <c r="BB172" s="477"/>
      <c r="BC172" s="477"/>
      <c r="BD172" s="477"/>
      <c r="BE172" s="477"/>
      <c r="BF172" s="477"/>
      <c r="BG172" s="477"/>
      <c r="BH172" s="432"/>
      <c r="DI172" s="848"/>
    </row>
    <row r="173" spans="1:113" s="542" customFormat="1" ht="9" customHeight="1" thickBot="1">
      <c r="A173" s="540"/>
      <c r="B173" s="541"/>
      <c r="C173" s="444"/>
      <c r="D173" s="445"/>
      <c r="E173" s="873"/>
      <c r="F173" s="874"/>
      <c r="G173" s="874"/>
      <c r="H173" s="875"/>
      <c r="I173" s="875"/>
      <c r="J173" s="446"/>
      <c r="K173" s="445"/>
      <c r="L173" s="446"/>
      <c r="M173" s="447"/>
      <c r="N173" s="448"/>
      <c r="O173" s="449"/>
      <c r="P173" s="449"/>
      <c r="Q173" s="450"/>
      <c r="R173" s="450"/>
      <c r="S173" s="451"/>
      <c r="T173" s="451"/>
      <c r="U173" s="452"/>
      <c r="V173" s="624"/>
      <c r="W173" s="447"/>
      <c r="X173" s="620"/>
      <c r="Y173" s="876"/>
      <c r="Z173" s="876"/>
      <c r="AA173" s="876"/>
      <c r="AB173" s="877"/>
      <c r="AC173" s="878"/>
      <c r="AD173" s="878"/>
      <c r="AE173" s="878"/>
      <c r="AF173" s="879"/>
      <c r="AG173" s="878"/>
      <c r="AH173" s="653"/>
      <c r="AI173" s="653"/>
      <c r="AJ173" s="653"/>
      <c r="AK173" s="653"/>
      <c r="AL173" s="653"/>
      <c r="AM173" s="653"/>
      <c r="AN173" s="653"/>
      <c r="AO173" s="653"/>
      <c r="AP173" s="653"/>
      <c r="AQ173" s="653"/>
      <c r="AR173" s="653"/>
      <c r="AS173" s="456"/>
      <c r="AT173" s="456"/>
      <c r="AU173" s="456"/>
      <c r="AV173" s="456"/>
      <c r="AW173" s="456"/>
      <c r="AX173" s="456"/>
      <c r="AY173" s="456"/>
      <c r="AZ173" s="456"/>
      <c r="BA173" s="456"/>
      <c r="BB173" s="456"/>
      <c r="BC173" s="456"/>
      <c r="BD173" s="456"/>
      <c r="BE173" s="456"/>
      <c r="BF173" s="456"/>
      <c r="BG173" s="456"/>
      <c r="BH173" s="432"/>
      <c r="DI173" s="543"/>
    </row>
    <row r="174" spans="1:113" s="433" customFormat="1">
      <c r="A174" s="2336" t="s">
        <v>1112</v>
      </c>
      <c r="B174" s="2350" t="s">
        <v>1113</v>
      </c>
      <c r="C174" s="2299" t="s">
        <v>862</v>
      </c>
      <c r="D174" s="546" t="s">
        <v>1114</v>
      </c>
      <c r="E174" s="809">
        <v>52</v>
      </c>
      <c r="F174" s="821" t="s">
        <v>35</v>
      </c>
      <c r="G174" s="821" t="s">
        <v>35</v>
      </c>
      <c r="H174" s="880">
        <v>236.49</v>
      </c>
      <c r="I174" s="881">
        <v>103.95</v>
      </c>
      <c r="J174" s="571" t="s">
        <v>35</v>
      </c>
      <c r="K174" s="572" t="s">
        <v>35</v>
      </c>
      <c r="L174" s="2380" t="s">
        <v>862</v>
      </c>
      <c r="M174" s="882" t="s">
        <v>1114</v>
      </c>
      <c r="N174" s="812">
        <v>0</v>
      </c>
      <c r="O174" s="594" t="s">
        <v>926</v>
      </c>
      <c r="P174" s="594" t="s">
        <v>926</v>
      </c>
      <c r="Q174" s="577" t="s">
        <v>35</v>
      </c>
      <c r="R174" s="883">
        <f>N174</f>
        <v>0</v>
      </c>
      <c r="S174" s="658" t="s">
        <v>841</v>
      </c>
      <c r="T174" s="637" t="s">
        <v>842</v>
      </c>
      <c r="U174" s="560"/>
      <c r="V174" s="2384" t="s">
        <v>976</v>
      </c>
      <c r="W174" s="655" t="s">
        <v>175</v>
      </c>
      <c r="X174" s="655" t="s">
        <v>1115</v>
      </c>
      <c r="Y174" s="884">
        <f>(T181+(R177*0.5)+R178+(R184*3))*1.2</f>
        <v>261.73567741935483</v>
      </c>
      <c r="Z174" s="884" t="s">
        <v>918</v>
      </c>
      <c r="AA174" s="885" t="s">
        <v>918</v>
      </c>
      <c r="AB174" s="877"/>
      <c r="AC174" s="525"/>
      <c r="AD174" s="2385" t="s">
        <v>846</v>
      </c>
      <c r="AE174" s="2386"/>
      <c r="AF174" s="631" t="s">
        <v>175</v>
      </c>
      <c r="AG174" s="655" t="s">
        <v>1115</v>
      </c>
      <c r="AH174" s="681">
        <f>Y174</f>
        <v>261.73567741935483</v>
      </c>
      <c r="AI174" s="681">
        <v>122.97</v>
      </c>
      <c r="AJ174" s="681">
        <v>157.35</v>
      </c>
      <c r="AK174" s="681">
        <v>139.94999999999999</v>
      </c>
      <c r="AL174" s="681">
        <v>321.95</v>
      </c>
      <c r="AM174" s="681">
        <v>199.95</v>
      </c>
      <c r="AN174" s="681">
        <v>212.95</v>
      </c>
      <c r="AO174" s="681">
        <v>201.5</v>
      </c>
      <c r="AP174" s="886"/>
      <c r="AQ174" s="887"/>
      <c r="AR174" s="887"/>
      <c r="AS174" s="477"/>
      <c r="AT174" s="477"/>
      <c r="AU174" s="477"/>
      <c r="AV174" s="477"/>
      <c r="AW174" s="477"/>
      <c r="AX174" s="477"/>
      <c r="AY174" s="477"/>
      <c r="AZ174" s="477"/>
      <c r="BA174" s="477"/>
      <c r="BB174" s="477"/>
      <c r="BC174" s="477"/>
      <c r="BD174" s="477"/>
      <c r="BE174" s="477"/>
      <c r="BF174" s="477"/>
      <c r="BG174" s="477"/>
      <c r="BH174" s="432"/>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DI174" s="435"/>
    </row>
    <row r="175" spans="1:113" s="433" customFormat="1">
      <c r="A175" s="2337"/>
      <c r="B175" s="2273"/>
      <c r="C175" s="2274"/>
      <c r="D175" s="568" t="s">
        <v>1116</v>
      </c>
      <c r="E175" s="809">
        <v>21</v>
      </c>
      <c r="F175" s="821" t="s">
        <v>35</v>
      </c>
      <c r="G175" s="821" t="s">
        <v>35</v>
      </c>
      <c r="H175" s="880">
        <v>304.39</v>
      </c>
      <c r="I175" s="881">
        <v>106.89</v>
      </c>
      <c r="J175" s="571" t="s">
        <v>35</v>
      </c>
      <c r="K175" s="572" t="s">
        <v>35</v>
      </c>
      <c r="L175" s="2361"/>
      <c r="M175" s="888" t="s">
        <v>1117</v>
      </c>
      <c r="N175" s="812">
        <v>117.02</v>
      </c>
      <c r="O175" s="594">
        <v>4.7</v>
      </c>
      <c r="P175" s="594">
        <v>24.91</v>
      </c>
      <c r="Q175" s="577" t="s">
        <v>35</v>
      </c>
      <c r="R175" s="889">
        <f>N175</f>
        <v>117.02</v>
      </c>
      <c r="S175" s="487" t="s">
        <v>1013</v>
      </c>
      <c r="T175" s="888" t="s">
        <v>1065</v>
      </c>
      <c r="U175" s="452"/>
      <c r="V175" s="2295"/>
      <c r="W175" s="92" t="s">
        <v>174</v>
      </c>
      <c r="X175" s="92" t="s">
        <v>1118</v>
      </c>
      <c r="Y175" s="890">
        <f>(($R$177*0.5)+$R$176+$R$178+($R$184*5)+$T$181)*1.2</f>
        <v>352.41967741935491</v>
      </c>
      <c r="Z175" s="890">
        <f>Y175-Y174</f>
        <v>90.684000000000083</v>
      </c>
      <c r="AA175" s="574" t="s">
        <v>102</v>
      </c>
      <c r="AB175" s="891"/>
      <c r="AC175" s="525"/>
      <c r="AD175" s="490" t="s">
        <v>795</v>
      </c>
      <c r="AE175" s="892">
        <v>0.26</v>
      </c>
      <c r="AF175" s="573" t="s">
        <v>174</v>
      </c>
      <c r="AG175" s="92" t="s">
        <v>1118</v>
      </c>
      <c r="AH175" s="681">
        <f>Y175</f>
        <v>352.41967741935491</v>
      </c>
      <c r="AI175" s="681">
        <v>198.85</v>
      </c>
      <c r="AJ175" s="681">
        <v>507.95</v>
      </c>
      <c r="AK175" s="681">
        <v>674.99</v>
      </c>
      <c r="AL175" s="681">
        <v>640</v>
      </c>
      <c r="AM175" s="681"/>
      <c r="AN175" s="681"/>
      <c r="AO175" s="681"/>
      <c r="AP175" s="662"/>
      <c r="AQ175" s="477"/>
      <c r="AR175" s="477"/>
      <c r="AS175" s="477"/>
      <c r="AT175" s="477"/>
      <c r="AU175" s="477"/>
      <c r="AV175" s="477"/>
      <c r="AW175" s="477"/>
      <c r="AX175" s="477"/>
      <c r="AY175" s="477"/>
      <c r="AZ175" s="477"/>
      <c r="BA175" s="477"/>
      <c r="BB175" s="477"/>
      <c r="BC175" s="477"/>
      <c r="BD175" s="477"/>
      <c r="BE175" s="477"/>
      <c r="BF175" s="477"/>
      <c r="BG175" s="477"/>
      <c r="BH175" s="432"/>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DI175" s="435"/>
    </row>
    <row r="176" spans="1:113" s="433" customFormat="1">
      <c r="A176" s="2337"/>
      <c r="B176" s="2273"/>
      <c r="C176" s="2274"/>
      <c r="D176" s="568" t="s">
        <v>1119</v>
      </c>
      <c r="E176" s="809">
        <v>20</v>
      </c>
      <c r="F176" s="821" t="s">
        <v>35</v>
      </c>
      <c r="G176" s="821" t="s">
        <v>35</v>
      </c>
      <c r="H176" s="880">
        <v>300.52</v>
      </c>
      <c r="I176" s="881">
        <v>114.92</v>
      </c>
      <c r="J176" s="571" t="s">
        <v>35</v>
      </c>
      <c r="K176" s="572" t="s">
        <v>35</v>
      </c>
      <c r="L176" s="2361"/>
      <c r="M176" s="888" t="s">
        <v>1120</v>
      </c>
      <c r="N176" s="812">
        <v>123.15</v>
      </c>
      <c r="O176" s="594">
        <v>4.91</v>
      </c>
      <c r="P176" s="594">
        <v>25.09</v>
      </c>
      <c r="Q176" s="577" t="s">
        <v>35</v>
      </c>
      <c r="R176" s="889">
        <f>N176</f>
        <v>123.15</v>
      </c>
      <c r="S176" s="667" t="s">
        <v>858</v>
      </c>
      <c r="T176" s="499" t="s">
        <v>859</v>
      </c>
      <c r="U176" s="470"/>
      <c r="V176" s="893"/>
      <c r="W176" s="525"/>
      <c r="X176" s="525"/>
      <c r="Y176" s="525"/>
      <c r="Z176" s="525"/>
      <c r="AA176" s="524"/>
      <c r="AB176" s="891"/>
      <c r="AC176" s="525"/>
      <c r="AD176" s="490" t="s">
        <v>874</v>
      </c>
      <c r="AE176" s="892">
        <v>0.56000000000000005</v>
      </c>
      <c r="AF176" s="757"/>
      <c r="AG176" s="525"/>
      <c r="AH176" s="477"/>
      <c r="AI176" s="477"/>
      <c r="AJ176" s="477"/>
      <c r="AK176" s="477"/>
      <c r="AL176" s="477"/>
      <c r="AM176" s="477"/>
      <c r="AN176" s="477"/>
      <c r="AO176" s="477"/>
      <c r="AP176" s="477"/>
      <c r="AQ176" s="477"/>
      <c r="AR176" s="477"/>
      <c r="AS176" s="477"/>
      <c r="AT176" s="477"/>
      <c r="AU176" s="477"/>
      <c r="AV176" s="477"/>
      <c r="AW176" s="477"/>
      <c r="AX176" s="477"/>
      <c r="AY176" s="477"/>
      <c r="AZ176" s="477"/>
      <c r="BA176" s="477"/>
      <c r="BB176" s="477"/>
      <c r="BC176" s="477"/>
      <c r="BD176" s="477"/>
      <c r="BE176" s="477"/>
      <c r="BF176" s="477"/>
      <c r="BG176" s="477"/>
      <c r="BH176" s="432"/>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DI176" s="435"/>
    </row>
    <row r="177" spans="1:123" s="433" customFormat="1">
      <c r="A177" s="2337"/>
      <c r="B177" s="894" t="s">
        <v>1121</v>
      </c>
      <c r="C177" s="493" t="s">
        <v>853</v>
      </c>
      <c r="D177" s="568" t="s">
        <v>1122</v>
      </c>
      <c r="E177" s="809">
        <v>93</v>
      </c>
      <c r="F177" s="594">
        <v>0.47</v>
      </c>
      <c r="G177" s="594">
        <v>0.22</v>
      </c>
      <c r="H177" s="880">
        <v>265.5</v>
      </c>
      <c r="I177" s="881">
        <v>110.85</v>
      </c>
      <c r="J177" s="571" t="s">
        <v>35</v>
      </c>
      <c r="K177" s="572" t="s">
        <v>35</v>
      </c>
      <c r="L177" s="573" t="s">
        <v>855</v>
      </c>
      <c r="M177" s="574" t="s">
        <v>1123</v>
      </c>
      <c r="N177" s="812">
        <v>158.75</v>
      </c>
      <c r="O177" s="594">
        <v>4.0999999999999996</v>
      </c>
      <c r="P177" s="594">
        <v>38.72</v>
      </c>
      <c r="Q177" s="577" t="s">
        <v>35</v>
      </c>
      <c r="R177" s="889">
        <f>N177</f>
        <v>158.75</v>
      </c>
      <c r="S177" s="749" t="s">
        <v>310</v>
      </c>
      <c r="T177" s="749" t="s">
        <v>1019</v>
      </c>
      <c r="U177" s="591"/>
      <c r="V177" s="524"/>
      <c r="W177" s="525"/>
      <c r="X177" s="525"/>
      <c r="Y177" s="525"/>
      <c r="Z177" s="525"/>
      <c r="AA177" s="524"/>
      <c r="AB177" s="891"/>
      <c r="AC177" s="525"/>
      <c r="AD177" s="490" t="s">
        <v>977</v>
      </c>
      <c r="AE177" s="892">
        <v>-0.48</v>
      </c>
      <c r="AF177" s="757"/>
      <c r="AG177" s="525"/>
      <c r="AH177" s="477"/>
      <c r="AI177" s="477"/>
      <c r="AJ177" s="477"/>
      <c r="AK177" s="477"/>
      <c r="AL177" s="477"/>
      <c r="AM177" s="477"/>
      <c r="AN177" s="477"/>
      <c r="AO177" s="477"/>
      <c r="AP177" s="477"/>
      <c r="AQ177" s="477"/>
      <c r="AR177" s="477"/>
      <c r="AS177" s="477"/>
      <c r="AT177" s="477"/>
      <c r="AU177" s="477"/>
      <c r="AV177" s="477"/>
      <c r="AW177" s="477"/>
      <c r="AX177" s="477"/>
      <c r="AY177" s="477"/>
      <c r="AZ177" s="477"/>
      <c r="BA177" s="477"/>
      <c r="BB177" s="477"/>
      <c r="BC177" s="477"/>
      <c r="BD177" s="477"/>
      <c r="BE177" s="477"/>
      <c r="BF177" s="477"/>
      <c r="BG177" s="477"/>
      <c r="BH177" s="432"/>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DI177" s="435"/>
    </row>
    <row r="178" spans="1:123" s="433" customFormat="1">
      <c r="A178" s="2337"/>
      <c r="B178" s="2273" t="s">
        <v>1124</v>
      </c>
      <c r="C178" s="2274" t="s">
        <v>839</v>
      </c>
      <c r="D178" s="568" t="s">
        <v>840</v>
      </c>
      <c r="E178" s="809">
        <v>64</v>
      </c>
      <c r="F178" s="821" t="s">
        <v>35</v>
      </c>
      <c r="G178" s="821" t="s">
        <v>35</v>
      </c>
      <c r="H178" s="880">
        <v>243.77</v>
      </c>
      <c r="I178" s="881">
        <v>107.8</v>
      </c>
      <c r="J178" s="571" t="s">
        <v>35</v>
      </c>
      <c r="K178" s="572" t="s">
        <v>35</v>
      </c>
      <c r="L178" s="571" t="s">
        <v>35</v>
      </c>
      <c r="M178" s="572" t="s">
        <v>35</v>
      </c>
      <c r="N178" s="812">
        <v>-96.81</v>
      </c>
      <c r="O178" s="594">
        <v>4.12</v>
      </c>
      <c r="P178" s="594">
        <v>23.48</v>
      </c>
      <c r="Q178" s="895">
        <f t="shared" ref="Q178:Q184" si="4">E178/$E$177</f>
        <v>0.68817204301075274</v>
      </c>
      <c r="R178" s="2378">
        <f>SUMPRODUCT(Q178:Q179,N178:N179)</f>
        <v>-66.621935483870971</v>
      </c>
      <c r="S178" s="667" t="s">
        <v>868</v>
      </c>
      <c r="T178" s="637" t="s">
        <v>869</v>
      </c>
      <c r="U178" s="560"/>
      <c r="V178" s="524"/>
      <c r="W178" s="525"/>
      <c r="X178" s="525"/>
      <c r="Y178" s="525"/>
      <c r="Z178" s="525"/>
      <c r="AA178" s="524"/>
      <c r="AB178" s="891"/>
      <c r="AC178" s="525"/>
      <c r="AD178" s="490" t="s">
        <v>978</v>
      </c>
      <c r="AE178" s="892">
        <v>1.18</v>
      </c>
      <c r="AF178" s="757"/>
      <c r="AG178" s="525"/>
      <c r="AH178" s="477"/>
      <c r="AI178" s="685"/>
      <c r="AJ178" s="685"/>
      <c r="AK178" s="685"/>
      <c r="AL178" s="685"/>
      <c r="AM178" s="685"/>
      <c r="AN178" s="685"/>
      <c r="AO178" s="685"/>
      <c r="AP178" s="477"/>
      <c r="AQ178" s="477"/>
      <c r="AR178" s="477"/>
      <c r="AS178" s="477"/>
      <c r="AT178" s="477"/>
      <c r="AU178" s="477"/>
      <c r="AV178" s="477"/>
      <c r="AW178" s="477"/>
      <c r="AX178" s="477"/>
      <c r="AY178" s="477"/>
      <c r="AZ178" s="477"/>
      <c r="BA178" s="477"/>
      <c r="BB178" s="477"/>
      <c r="BC178" s="477"/>
      <c r="BD178" s="477"/>
      <c r="BE178" s="477"/>
      <c r="BF178" s="477"/>
      <c r="BG178" s="477"/>
      <c r="BH178" s="432"/>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DI178" s="435"/>
    </row>
    <row r="179" spans="1:123" s="433" customFormat="1">
      <c r="A179" s="2337"/>
      <c r="B179" s="2273"/>
      <c r="C179" s="2274"/>
      <c r="D179" s="568" t="s">
        <v>64</v>
      </c>
      <c r="E179" s="809">
        <v>29</v>
      </c>
      <c r="F179" s="821" t="s">
        <v>35</v>
      </c>
      <c r="G179" s="821" t="s">
        <v>35</v>
      </c>
      <c r="H179" s="880">
        <v>313.77</v>
      </c>
      <c r="I179" s="881">
        <v>103.62</v>
      </c>
      <c r="J179" s="571" t="s">
        <v>35</v>
      </c>
      <c r="K179" s="572" t="s">
        <v>35</v>
      </c>
      <c r="L179" s="571" t="s">
        <v>35</v>
      </c>
      <c r="M179" s="572" t="s">
        <v>35</v>
      </c>
      <c r="N179" s="812"/>
      <c r="O179" s="594"/>
      <c r="P179" s="594"/>
      <c r="Q179" s="896">
        <f t="shared" si="4"/>
        <v>0.31182795698924731</v>
      </c>
      <c r="R179" s="2378"/>
      <c r="S179" s="589">
        <v>93</v>
      </c>
      <c r="T179" s="749" t="s">
        <v>1019</v>
      </c>
      <c r="U179" s="591"/>
      <c r="V179" s="524"/>
      <c r="W179" s="525"/>
      <c r="X179" s="525"/>
      <c r="Y179" s="525"/>
      <c r="Z179" s="525"/>
      <c r="AA179" s="524"/>
      <c r="AB179" s="891"/>
      <c r="AC179" s="525"/>
      <c r="AD179" s="524"/>
      <c r="AE179" s="525"/>
      <c r="AF179" s="757"/>
      <c r="AG179" s="525"/>
      <c r="AH179" s="477"/>
      <c r="AI179" s="685"/>
      <c r="AJ179" s="685"/>
      <c r="AK179" s="685"/>
      <c r="AL179" s="685"/>
      <c r="AM179" s="685"/>
      <c r="AN179" s="685"/>
      <c r="AO179" s="685"/>
      <c r="AP179" s="477"/>
      <c r="AQ179" s="477"/>
      <c r="AR179" s="477"/>
      <c r="AS179" s="477"/>
      <c r="AT179" s="477"/>
      <c r="AU179" s="477"/>
      <c r="AV179" s="477"/>
      <c r="AW179" s="477"/>
      <c r="AX179" s="477"/>
      <c r="AY179" s="477"/>
      <c r="AZ179" s="477"/>
      <c r="BA179" s="477"/>
      <c r="BB179" s="477"/>
      <c r="BC179" s="477"/>
      <c r="BD179" s="477"/>
      <c r="BE179" s="477"/>
      <c r="BF179" s="477"/>
      <c r="BG179" s="477"/>
      <c r="BH179" s="432"/>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DI179" s="435"/>
    </row>
    <row r="180" spans="1:123" s="433" customFormat="1">
      <c r="A180" s="2337"/>
      <c r="B180" s="2273" t="s">
        <v>1125</v>
      </c>
      <c r="C180" s="2274" t="s">
        <v>839</v>
      </c>
      <c r="D180" s="568" t="s">
        <v>840</v>
      </c>
      <c r="E180" s="809">
        <v>2</v>
      </c>
      <c r="F180" s="821" t="s">
        <v>35</v>
      </c>
      <c r="G180" s="821" t="s">
        <v>35</v>
      </c>
      <c r="H180" s="880">
        <v>472.43</v>
      </c>
      <c r="I180" s="881">
        <v>127.6</v>
      </c>
      <c r="J180" s="571" t="s">
        <v>35</v>
      </c>
      <c r="K180" s="572" t="s">
        <v>35</v>
      </c>
      <c r="L180" s="571" t="s">
        <v>35</v>
      </c>
      <c r="M180" s="572" t="s">
        <v>35</v>
      </c>
      <c r="N180" s="812">
        <v>100.43</v>
      </c>
      <c r="O180" s="594">
        <v>1.61</v>
      </c>
      <c r="P180" s="594">
        <v>62.19</v>
      </c>
      <c r="Q180" s="896">
        <f t="shared" si="4"/>
        <v>2.1505376344086023E-2</v>
      </c>
      <c r="R180" s="2378">
        <f>SUMPRODUCT(Q180:Q183,N180:N183)</f>
        <v>2.1597849462365595</v>
      </c>
      <c r="S180" s="667" t="s">
        <v>876</v>
      </c>
      <c r="T180" s="637" t="s">
        <v>877</v>
      </c>
      <c r="U180" s="560"/>
      <c r="V180" s="524"/>
      <c r="W180" s="525"/>
      <c r="X180" s="525"/>
      <c r="Y180" s="525"/>
      <c r="Z180" s="525"/>
      <c r="AA180" s="524"/>
      <c r="AB180" s="891"/>
      <c r="AC180" s="525"/>
      <c r="AD180" s="524"/>
      <c r="AE180" s="525"/>
      <c r="AF180" s="757"/>
      <c r="AG180" s="525"/>
      <c r="AH180" s="477"/>
      <c r="AI180" s="477"/>
      <c r="AJ180" s="477"/>
      <c r="AK180" s="477"/>
      <c r="AL180" s="477"/>
      <c r="AM180" s="477"/>
      <c r="AN180" s="477"/>
      <c r="AO180" s="477"/>
      <c r="AP180" s="477"/>
      <c r="AQ180" s="477"/>
      <c r="AR180" s="477"/>
      <c r="AS180" s="477"/>
      <c r="AT180" s="477"/>
      <c r="AU180" s="477"/>
      <c r="AV180" s="477"/>
      <c r="AW180" s="477"/>
      <c r="AX180" s="477"/>
      <c r="AY180" s="477"/>
      <c r="AZ180" s="477"/>
      <c r="BA180" s="477"/>
      <c r="BB180" s="477"/>
      <c r="BC180" s="477"/>
      <c r="BD180" s="477"/>
      <c r="BE180" s="477"/>
      <c r="BF180" s="477"/>
      <c r="BG180" s="477"/>
      <c r="BH180" s="432"/>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DI180" s="435"/>
    </row>
    <row r="181" spans="1:123" s="433" customFormat="1">
      <c r="A181" s="2337"/>
      <c r="B181" s="2273"/>
      <c r="C181" s="2274"/>
      <c r="D181" s="568" t="s">
        <v>64</v>
      </c>
      <c r="E181" s="809">
        <v>91</v>
      </c>
      <c r="F181" s="821" t="s">
        <v>35</v>
      </c>
      <c r="G181" s="821" t="s">
        <v>35</v>
      </c>
      <c r="H181" s="880">
        <v>261.05</v>
      </c>
      <c r="I181" s="881">
        <v>106.81</v>
      </c>
      <c r="J181" s="571" t="s">
        <v>35</v>
      </c>
      <c r="K181" s="572" t="s">
        <v>35</v>
      </c>
      <c r="L181" s="571" t="s">
        <v>35</v>
      </c>
      <c r="M181" s="572" t="s">
        <v>35</v>
      </c>
      <c r="N181" s="812"/>
      <c r="O181" s="594"/>
      <c r="P181" s="594"/>
      <c r="Q181" s="896">
        <f t="shared" si="4"/>
        <v>0.978494623655914</v>
      </c>
      <c r="R181" s="2378"/>
      <c r="S181" s="897">
        <v>0.51</v>
      </c>
      <c r="T181" s="599">
        <v>276.73</v>
      </c>
      <c r="U181" s="600"/>
      <c r="V181" s="524"/>
      <c r="W181" s="525"/>
      <c r="X181" s="525"/>
      <c r="Y181" s="525"/>
      <c r="Z181" s="525"/>
      <c r="AA181" s="524"/>
      <c r="AB181" s="891"/>
      <c r="AC181" s="525"/>
      <c r="AD181" s="524"/>
      <c r="AE181" s="525"/>
      <c r="AF181" s="757"/>
      <c r="AG181" s="525"/>
      <c r="AH181" s="477"/>
      <c r="AI181" s="477"/>
      <c r="AJ181" s="477"/>
      <c r="AK181" s="477"/>
      <c r="AL181" s="477"/>
      <c r="AM181" s="477"/>
      <c r="AN181" s="477"/>
      <c r="AO181" s="477"/>
      <c r="AP181" s="477"/>
      <c r="AQ181" s="477"/>
      <c r="AR181" s="477"/>
      <c r="AS181" s="477"/>
      <c r="AT181" s="477"/>
      <c r="AU181" s="477"/>
      <c r="AV181" s="477"/>
      <c r="AW181" s="477"/>
      <c r="AX181" s="477"/>
      <c r="AY181" s="477"/>
      <c r="AZ181" s="477"/>
      <c r="BA181" s="477"/>
      <c r="BB181" s="477"/>
      <c r="BC181" s="477"/>
      <c r="BD181" s="477"/>
      <c r="BE181" s="477"/>
      <c r="BF181" s="477"/>
      <c r="BG181" s="477"/>
      <c r="BH181" s="432"/>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DI181" s="435"/>
    </row>
    <row r="182" spans="1:123" s="433" customFormat="1">
      <c r="A182" s="2337"/>
      <c r="B182" s="2273"/>
      <c r="C182" s="2274"/>
      <c r="D182" s="568"/>
      <c r="E182" s="809"/>
      <c r="F182" s="821" t="s">
        <v>35</v>
      </c>
      <c r="G182" s="821" t="s">
        <v>35</v>
      </c>
      <c r="H182" s="880"/>
      <c r="I182" s="881"/>
      <c r="J182" s="571" t="s">
        <v>35</v>
      </c>
      <c r="K182" s="572" t="s">
        <v>35</v>
      </c>
      <c r="L182" s="571" t="s">
        <v>35</v>
      </c>
      <c r="M182" s="572" t="s">
        <v>35</v>
      </c>
      <c r="N182" s="812"/>
      <c r="O182" s="594"/>
      <c r="P182" s="594"/>
      <c r="Q182" s="577" t="s">
        <v>35</v>
      </c>
      <c r="R182" s="2378"/>
      <c r="S182" s="498" t="s">
        <v>883</v>
      </c>
      <c r="T182" s="499" t="s">
        <v>884</v>
      </c>
      <c r="U182" s="470"/>
      <c r="V182" s="524"/>
      <c r="W182" s="525"/>
      <c r="X182" s="525"/>
      <c r="Y182" s="525"/>
      <c r="Z182" s="525"/>
      <c r="AA182" s="524"/>
      <c r="AB182" s="891"/>
      <c r="AC182" s="525"/>
      <c r="AD182" s="524"/>
      <c r="AE182" s="525"/>
      <c r="AF182" s="757"/>
      <c r="AG182" s="525"/>
      <c r="AH182" s="477"/>
      <c r="AI182" s="477"/>
      <c r="AJ182" s="477"/>
      <c r="AK182" s="477"/>
      <c r="AL182" s="477"/>
      <c r="AM182" s="477"/>
      <c r="AN182" s="477"/>
      <c r="AO182" s="477"/>
      <c r="AP182" s="477"/>
      <c r="AQ182" s="477"/>
      <c r="AR182" s="477"/>
      <c r="AS182" s="477"/>
      <c r="AT182" s="477"/>
      <c r="AU182" s="477"/>
      <c r="AV182" s="477"/>
      <c r="AW182" s="477"/>
      <c r="AX182" s="477"/>
      <c r="AY182" s="477"/>
      <c r="AZ182" s="477"/>
      <c r="BA182" s="477"/>
      <c r="BB182" s="477"/>
      <c r="BC182" s="477"/>
      <c r="BD182" s="477"/>
      <c r="BE182" s="477"/>
      <c r="BF182" s="477"/>
      <c r="BG182" s="477"/>
      <c r="BH182" s="432"/>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DI182" s="435"/>
    </row>
    <row r="183" spans="1:123" s="433" customFormat="1">
      <c r="A183" s="2337"/>
      <c r="B183" s="2348"/>
      <c r="C183" s="2274"/>
      <c r="D183" s="568"/>
      <c r="E183" s="809"/>
      <c r="F183" s="821" t="s">
        <v>35</v>
      </c>
      <c r="G183" s="821" t="s">
        <v>35</v>
      </c>
      <c r="H183" s="880"/>
      <c r="I183" s="881"/>
      <c r="J183" s="571" t="s">
        <v>35</v>
      </c>
      <c r="K183" s="572" t="s">
        <v>35</v>
      </c>
      <c r="L183" s="571" t="s">
        <v>35</v>
      </c>
      <c r="M183" s="572" t="s">
        <v>35</v>
      </c>
      <c r="N183" s="812"/>
      <c r="O183" s="594"/>
      <c r="P183" s="594"/>
      <c r="Q183" s="577" t="s">
        <v>35</v>
      </c>
      <c r="R183" s="2378"/>
      <c r="S183" s="898">
        <v>60.34</v>
      </c>
      <c r="T183" s="899">
        <v>0.2</v>
      </c>
      <c r="U183" s="603"/>
      <c r="V183" s="524"/>
      <c r="W183" s="525"/>
      <c r="X183" s="525"/>
      <c r="Y183" s="525"/>
      <c r="Z183" s="525"/>
      <c r="AA183" s="524"/>
      <c r="AB183" s="891"/>
      <c r="AC183" s="525"/>
      <c r="AD183" s="524"/>
      <c r="AE183" s="525"/>
      <c r="AF183" s="757"/>
      <c r="AG183" s="525"/>
      <c r="AH183" s="477"/>
      <c r="AI183" s="477"/>
      <c r="AJ183" s="477"/>
      <c r="AK183" s="477"/>
      <c r="AL183" s="477"/>
      <c r="AM183" s="477"/>
      <c r="AN183" s="477"/>
      <c r="AO183" s="477"/>
      <c r="AP183" s="477"/>
      <c r="AQ183" s="477"/>
      <c r="AR183" s="477"/>
      <c r="AS183" s="477"/>
      <c r="AT183" s="477"/>
      <c r="AU183" s="477"/>
      <c r="AV183" s="477"/>
      <c r="AW183" s="477"/>
      <c r="AX183" s="477"/>
      <c r="AY183" s="477"/>
      <c r="AZ183" s="477"/>
      <c r="BA183" s="477"/>
      <c r="BB183" s="477"/>
      <c r="BC183" s="477"/>
      <c r="BD183" s="477"/>
      <c r="BE183" s="477"/>
      <c r="BF183" s="477"/>
      <c r="BG183" s="477"/>
      <c r="BH183" s="432"/>
      <c r="BI183" s="95"/>
      <c r="BJ183" s="95"/>
      <c r="BK183" s="95"/>
      <c r="BL183" s="95"/>
      <c r="BM183" s="95"/>
      <c r="BN183" s="95"/>
      <c r="BO183" s="95"/>
      <c r="BP183" s="95"/>
      <c r="BQ183" s="95"/>
      <c r="BR183" s="95"/>
      <c r="BS183" s="95"/>
      <c r="BT183" s="95"/>
      <c r="BU183" s="95"/>
      <c r="BV183" s="95"/>
      <c r="BW183" s="95"/>
      <c r="BX183" s="95"/>
      <c r="BY183" s="95"/>
      <c r="BZ183" s="95"/>
      <c r="CA183" s="95"/>
      <c r="CB183" s="95"/>
      <c r="CC183" s="95"/>
      <c r="CD183" s="95"/>
      <c r="CE183" s="95"/>
      <c r="DI183" s="435"/>
    </row>
    <row r="184" spans="1:123" s="433" customFormat="1">
      <c r="A184" s="2337"/>
      <c r="B184" s="2273" t="s">
        <v>1126</v>
      </c>
      <c r="C184" s="2274" t="s">
        <v>853</v>
      </c>
      <c r="D184" s="900" t="s">
        <v>1127</v>
      </c>
      <c r="E184" s="809">
        <v>93</v>
      </c>
      <c r="F184" s="901">
        <v>3.15</v>
      </c>
      <c r="G184" s="901">
        <v>1.1399999999999999</v>
      </c>
      <c r="H184" s="880">
        <v>265.5</v>
      </c>
      <c r="I184" s="881">
        <v>110.85</v>
      </c>
      <c r="J184" s="571" t="s">
        <v>35</v>
      </c>
      <c r="K184" s="572" t="s">
        <v>35</v>
      </c>
      <c r="L184" s="571" t="s">
        <v>35</v>
      </c>
      <c r="M184" s="572" t="s">
        <v>35</v>
      </c>
      <c r="N184" s="812">
        <v>-23.79</v>
      </c>
      <c r="O184" s="594">
        <v>2.2599999999999998</v>
      </c>
      <c r="P184" s="594">
        <v>10.55</v>
      </c>
      <c r="Q184" s="896">
        <f t="shared" si="4"/>
        <v>1</v>
      </c>
      <c r="R184" s="2378">
        <f>SUMPRODUCT(Q184:Q187,N184:N187)</f>
        <v>-23.79</v>
      </c>
      <c r="S184" s="902"/>
      <c r="T184" s="525"/>
      <c r="U184" s="672"/>
      <c r="V184" s="524"/>
      <c r="W184" s="525"/>
      <c r="X184" s="525"/>
      <c r="Y184" s="525"/>
      <c r="Z184" s="525"/>
      <c r="AA184" s="524"/>
      <c r="AB184" s="891"/>
      <c r="AC184" s="525"/>
      <c r="AD184" s="524"/>
      <c r="AE184" s="525"/>
      <c r="AF184" s="757"/>
      <c r="AG184" s="525"/>
      <c r="AH184" s="477"/>
      <c r="AI184" s="477"/>
      <c r="AJ184" s="477"/>
      <c r="AK184" s="477"/>
      <c r="AL184" s="477"/>
      <c r="AM184" s="477"/>
      <c r="AN184" s="477"/>
      <c r="AO184" s="477"/>
      <c r="AP184" s="477"/>
      <c r="AQ184" s="477"/>
      <c r="AR184" s="477"/>
      <c r="AS184" s="477"/>
      <c r="AT184" s="477"/>
      <c r="AU184" s="477"/>
      <c r="AV184" s="477"/>
      <c r="AW184" s="477"/>
      <c r="AX184" s="477"/>
      <c r="AY184" s="477"/>
      <c r="AZ184" s="477"/>
      <c r="BA184" s="477"/>
      <c r="BB184" s="477"/>
      <c r="BC184" s="477"/>
      <c r="BD184" s="477"/>
      <c r="BE184" s="477"/>
      <c r="BF184" s="477"/>
      <c r="BG184" s="477"/>
      <c r="BH184" s="432"/>
      <c r="BI184" s="95"/>
      <c r="BJ184" s="95"/>
      <c r="BK184" s="95"/>
      <c r="BL184" s="95"/>
      <c r="BM184" s="95"/>
      <c r="BN184" s="95"/>
      <c r="BO184" s="95"/>
      <c r="BP184" s="95"/>
      <c r="BQ184" s="95"/>
      <c r="BR184" s="95"/>
      <c r="BS184" s="95"/>
      <c r="BT184" s="95"/>
      <c r="BU184" s="95"/>
      <c r="BV184" s="95"/>
      <c r="BW184" s="95"/>
      <c r="BX184" s="95"/>
      <c r="BY184" s="95"/>
      <c r="BZ184" s="95"/>
      <c r="CA184" s="95"/>
      <c r="CB184" s="95"/>
      <c r="CC184" s="95"/>
      <c r="CD184" s="95"/>
      <c r="CE184" s="95"/>
      <c r="DI184" s="435"/>
    </row>
    <row r="185" spans="1:123" s="433" customFormat="1">
      <c r="A185" s="2337"/>
      <c r="B185" s="2273"/>
      <c r="C185" s="2274"/>
      <c r="D185" s="568"/>
      <c r="E185" s="809"/>
      <c r="F185" s="821" t="s">
        <v>35</v>
      </c>
      <c r="G185" s="821" t="s">
        <v>35</v>
      </c>
      <c r="H185" s="880"/>
      <c r="I185" s="881"/>
      <c r="J185" s="571" t="s">
        <v>35</v>
      </c>
      <c r="K185" s="572" t="s">
        <v>35</v>
      </c>
      <c r="L185" s="571" t="s">
        <v>35</v>
      </c>
      <c r="M185" s="572" t="s">
        <v>35</v>
      </c>
      <c r="N185" s="812"/>
      <c r="O185" s="594"/>
      <c r="P185" s="594"/>
      <c r="Q185" s="577" t="s">
        <v>35</v>
      </c>
      <c r="R185" s="2378"/>
      <c r="S185" s="903"/>
      <c r="T185" s="525"/>
      <c r="U185" s="672"/>
      <c r="V185" s="524"/>
      <c r="W185" s="525"/>
      <c r="X185" s="525"/>
      <c r="Y185" s="525"/>
      <c r="Z185" s="525"/>
      <c r="AA185" s="524"/>
      <c r="AB185" s="891"/>
      <c r="AC185" s="525"/>
      <c r="AD185" s="524"/>
      <c r="AE185" s="525"/>
      <c r="AF185" s="757"/>
      <c r="AG185" s="525"/>
      <c r="AH185" s="477"/>
      <c r="AI185" s="477"/>
      <c r="AJ185" s="477"/>
      <c r="AK185" s="477"/>
      <c r="AL185" s="477"/>
      <c r="AM185" s="477"/>
      <c r="AN185" s="477"/>
      <c r="AO185" s="477"/>
      <c r="AP185" s="477"/>
      <c r="AQ185" s="477"/>
      <c r="AR185" s="477"/>
      <c r="AS185" s="477"/>
      <c r="AT185" s="477"/>
      <c r="AU185" s="477"/>
      <c r="AV185" s="477"/>
      <c r="AW185" s="477"/>
      <c r="AX185" s="477"/>
      <c r="AY185" s="477"/>
      <c r="AZ185" s="477"/>
      <c r="BA185" s="477"/>
      <c r="BB185" s="477"/>
      <c r="BC185" s="477"/>
      <c r="BD185" s="477"/>
      <c r="BE185" s="477"/>
      <c r="BF185" s="477"/>
      <c r="BG185" s="477"/>
      <c r="BH185" s="432"/>
      <c r="BI185" s="95"/>
      <c r="BJ185" s="95"/>
      <c r="BK185" s="95"/>
      <c r="BL185" s="95"/>
      <c r="BM185" s="95"/>
      <c r="BN185" s="95"/>
      <c r="BO185" s="95"/>
      <c r="BP185" s="95"/>
      <c r="BQ185" s="95"/>
      <c r="BR185" s="95"/>
      <c r="BS185" s="95"/>
      <c r="BT185" s="95"/>
      <c r="BU185" s="95"/>
      <c r="BV185" s="95"/>
      <c r="BW185" s="95"/>
      <c r="BX185" s="95"/>
      <c r="BY185" s="95"/>
      <c r="BZ185" s="95"/>
      <c r="CA185" s="95"/>
      <c r="CB185" s="95"/>
      <c r="CC185" s="95"/>
      <c r="CD185" s="95"/>
      <c r="CE185" s="95"/>
      <c r="DI185" s="435"/>
    </row>
    <row r="186" spans="1:123" s="433" customFormat="1">
      <c r="A186" s="2337"/>
      <c r="B186" s="2273"/>
      <c r="C186" s="2274"/>
      <c r="D186" s="568"/>
      <c r="E186" s="809"/>
      <c r="F186" s="821" t="s">
        <v>35</v>
      </c>
      <c r="G186" s="821" t="s">
        <v>35</v>
      </c>
      <c r="H186" s="880"/>
      <c r="I186" s="881"/>
      <c r="J186" s="571" t="s">
        <v>35</v>
      </c>
      <c r="K186" s="572" t="s">
        <v>35</v>
      </c>
      <c r="L186" s="571" t="s">
        <v>35</v>
      </c>
      <c r="M186" s="572" t="s">
        <v>35</v>
      </c>
      <c r="N186" s="812"/>
      <c r="O186" s="594"/>
      <c r="P186" s="594"/>
      <c r="Q186" s="577" t="s">
        <v>35</v>
      </c>
      <c r="R186" s="2378"/>
      <c r="S186" s="903"/>
      <c r="T186" s="525"/>
      <c r="U186" s="672"/>
      <c r="V186" s="524"/>
      <c r="W186" s="525"/>
      <c r="X186" s="525"/>
      <c r="Y186" s="525"/>
      <c r="Z186" s="525"/>
      <c r="AA186" s="524"/>
      <c r="AB186" s="891"/>
      <c r="AC186" s="525"/>
      <c r="AD186" s="524"/>
      <c r="AE186" s="525"/>
      <c r="AF186" s="757"/>
      <c r="AG186" s="525"/>
      <c r="AH186" s="477"/>
      <c r="AI186" s="477"/>
      <c r="AJ186" s="477"/>
      <c r="AK186" s="477"/>
      <c r="AL186" s="477"/>
      <c r="AM186" s="477"/>
      <c r="AN186" s="477"/>
      <c r="AO186" s="477"/>
      <c r="AP186" s="477"/>
      <c r="AQ186" s="477"/>
      <c r="AR186" s="477"/>
      <c r="AS186" s="477"/>
      <c r="AT186" s="477"/>
      <c r="AU186" s="477"/>
      <c r="AV186" s="477"/>
      <c r="AW186" s="477"/>
      <c r="AX186" s="477"/>
      <c r="AY186" s="477"/>
      <c r="AZ186" s="477"/>
      <c r="BA186" s="477"/>
      <c r="BB186" s="477"/>
      <c r="BC186" s="477"/>
      <c r="BD186" s="477"/>
      <c r="BE186" s="477"/>
      <c r="BF186" s="477"/>
      <c r="BG186" s="477"/>
      <c r="BH186" s="432"/>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DI186" s="435"/>
    </row>
    <row r="187" spans="1:123" s="433" customFormat="1" ht="15" thickBot="1">
      <c r="A187" s="2337"/>
      <c r="B187" s="2273"/>
      <c r="C187" s="2274"/>
      <c r="D187" s="568"/>
      <c r="E187" s="809"/>
      <c r="F187" s="821" t="s">
        <v>35</v>
      </c>
      <c r="G187" s="821" t="s">
        <v>35</v>
      </c>
      <c r="H187" s="880"/>
      <c r="I187" s="881"/>
      <c r="J187" s="571" t="s">
        <v>35</v>
      </c>
      <c r="K187" s="572" t="s">
        <v>35</v>
      </c>
      <c r="L187" s="571" t="s">
        <v>35</v>
      </c>
      <c r="M187" s="572" t="s">
        <v>35</v>
      </c>
      <c r="N187" s="812"/>
      <c r="O187" s="594"/>
      <c r="P187" s="594"/>
      <c r="Q187" s="577" t="s">
        <v>35</v>
      </c>
      <c r="R187" s="2379"/>
      <c r="S187" s="904"/>
      <c r="T187" s="525"/>
      <c r="U187" s="672"/>
      <c r="V187" s="524"/>
      <c r="W187" s="525"/>
      <c r="X187" s="525"/>
      <c r="Y187" s="525"/>
      <c r="Z187" s="525"/>
      <c r="AA187" s="524"/>
      <c r="AB187" s="891"/>
      <c r="AC187" s="525"/>
      <c r="AD187" s="524"/>
      <c r="AE187" s="525"/>
      <c r="AF187" s="757"/>
      <c r="AG187" s="525"/>
      <c r="AH187" s="477"/>
      <c r="AI187" s="477"/>
      <c r="AJ187" s="477"/>
      <c r="AK187" s="477"/>
      <c r="AL187" s="477"/>
      <c r="AM187" s="477"/>
      <c r="AN187" s="477"/>
      <c r="AO187" s="477"/>
      <c r="AP187" s="477"/>
      <c r="AQ187" s="477"/>
      <c r="AR187" s="477"/>
      <c r="AS187" s="477"/>
      <c r="AT187" s="477"/>
      <c r="AU187" s="477"/>
      <c r="AV187" s="477"/>
      <c r="AW187" s="477"/>
      <c r="AX187" s="477"/>
      <c r="AY187" s="477"/>
      <c r="AZ187" s="477"/>
      <c r="BA187" s="477"/>
      <c r="BB187" s="477"/>
      <c r="BC187" s="477"/>
      <c r="BD187" s="477"/>
      <c r="BE187" s="477"/>
      <c r="BF187" s="477"/>
      <c r="BG187" s="477"/>
      <c r="BH187" s="432"/>
      <c r="BI187" s="95"/>
      <c r="BJ187" s="95"/>
      <c r="BK187" s="95"/>
      <c r="BL187" s="95"/>
      <c r="BM187" s="95"/>
      <c r="BN187" s="95"/>
      <c r="BO187" s="95"/>
      <c r="BP187" s="95"/>
      <c r="BQ187" s="95"/>
      <c r="BR187" s="95"/>
      <c r="BS187" s="95"/>
      <c r="BT187" s="95"/>
      <c r="BU187" s="95"/>
      <c r="BV187" s="95"/>
      <c r="BW187" s="95"/>
      <c r="BX187" s="95"/>
      <c r="BY187" s="95"/>
      <c r="BZ187" s="95"/>
      <c r="CA187" s="95"/>
      <c r="CB187" s="95"/>
      <c r="CC187" s="95"/>
      <c r="CD187" s="95"/>
      <c r="CE187" s="95"/>
      <c r="DI187" s="435"/>
    </row>
    <row r="188" spans="1:123" s="626" customFormat="1" ht="25.5" customHeight="1" thickBot="1">
      <c r="A188" s="442" t="s">
        <v>1128</v>
      </c>
      <c r="B188" s="443"/>
      <c r="C188" s="444"/>
      <c r="D188" s="445"/>
      <c r="E188" s="445"/>
      <c r="F188" s="445"/>
      <c r="G188" s="445"/>
      <c r="H188" s="445"/>
      <c r="I188" s="445"/>
      <c r="J188" s="446"/>
      <c r="K188" s="445"/>
      <c r="L188" s="446"/>
      <c r="M188" s="447"/>
      <c r="N188" s="448"/>
      <c r="O188" s="449"/>
      <c r="P188" s="449"/>
      <c r="Q188" s="450"/>
      <c r="R188" s="450"/>
      <c r="S188" s="451"/>
      <c r="T188" s="451"/>
      <c r="U188" s="452"/>
      <c r="V188" s="453"/>
      <c r="W188" s="447"/>
      <c r="X188" s="447"/>
      <c r="Y188" s="451"/>
      <c r="Z188" s="451"/>
      <c r="AA188" s="451"/>
      <c r="AB188" s="454"/>
      <c r="AC188" s="447"/>
      <c r="AD188" s="447"/>
      <c r="AE188" s="447"/>
      <c r="AF188" s="455"/>
      <c r="AG188" s="447"/>
      <c r="AH188" s="456"/>
      <c r="AI188" s="456"/>
      <c r="AJ188" s="456"/>
      <c r="AK188" s="456"/>
      <c r="AL188" s="456"/>
      <c r="AM188" s="653"/>
      <c r="AN188" s="653"/>
      <c r="AO188" s="653"/>
      <c r="AP188" s="653"/>
      <c r="AQ188" s="653"/>
      <c r="AR188" s="653"/>
      <c r="AS188" s="653"/>
      <c r="AT188" s="653"/>
      <c r="AU188" s="653"/>
      <c r="AV188" s="653"/>
      <c r="AW188" s="653"/>
      <c r="AX188" s="653"/>
      <c r="AY188" s="653"/>
      <c r="AZ188" s="653"/>
      <c r="BA188" s="653"/>
      <c r="BB188" s="653"/>
      <c r="BC188" s="653"/>
      <c r="BD188" s="653"/>
      <c r="BE188" s="653"/>
      <c r="BF188" s="653"/>
      <c r="BG188" s="653"/>
      <c r="BH188" s="432"/>
      <c r="CF188" s="542"/>
      <c r="CG188" s="542"/>
      <c r="CH188" s="542"/>
      <c r="CI188" s="542"/>
      <c r="CJ188" s="542"/>
      <c r="CK188" s="542"/>
      <c r="CL188" s="542"/>
      <c r="CM188" s="542"/>
      <c r="CN188" s="542"/>
      <c r="CO188" s="542"/>
      <c r="CP188" s="542"/>
      <c r="CQ188" s="542"/>
      <c r="CR188" s="542"/>
      <c r="CS188" s="542"/>
      <c r="CT188" s="542"/>
      <c r="CU188" s="542"/>
      <c r="CV188" s="542"/>
      <c r="CW188" s="542"/>
      <c r="CX188" s="542"/>
      <c r="CY188" s="542"/>
      <c r="CZ188" s="542"/>
      <c r="DA188" s="542"/>
      <c r="DB188" s="542"/>
      <c r="DC188" s="542"/>
      <c r="DD188" s="542"/>
      <c r="DE188" s="542"/>
      <c r="DF188" s="542"/>
      <c r="DG188" s="542"/>
      <c r="DH188" s="542"/>
      <c r="DI188" s="543"/>
      <c r="DJ188" s="542"/>
      <c r="DK188" s="542"/>
      <c r="DL188" s="542"/>
      <c r="DM188" s="542"/>
      <c r="DN188" s="542"/>
      <c r="DO188" s="542"/>
      <c r="DP188" s="542"/>
      <c r="DQ188" s="542"/>
      <c r="DR188" s="542"/>
      <c r="DS188" s="542"/>
    </row>
    <row r="189" spans="1:123" ht="15" customHeight="1">
      <c r="A189" s="2290" t="s">
        <v>1129</v>
      </c>
      <c r="B189" s="492" t="s">
        <v>1130</v>
      </c>
      <c r="C189" s="493" t="s">
        <v>853</v>
      </c>
      <c r="D189" s="478" t="s">
        <v>1131</v>
      </c>
      <c r="E189" s="665">
        <v>98</v>
      </c>
      <c r="F189" s="905">
        <v>24.4</v>
      </c>
      <c r="G189" s="905">
        <v>26.17</v>
      </c>
      <c r="H189" s="698">
        <v>2714.58</v>
      </c>
      <c r="I189" s="699">
        <v>1724.19</v>
      </c>
      <c r="J189" s="834" t="s">
        <v>35</v>
      </c>
      <c r="K189" s="697" t="s">
        <v>35</v>
      </c>
      <c r="L189" s="495" t="s">
        <v>853</v>
      </c>
      <c r="M189" s="700" t="s">
        <v>1132</v>
      </c>
      <c r="N189" s="482">
        <v>48.28</v>
      </c>
      <c r="O189" s="497">
        <v>18.16</v>
      </c>
      <c r="P189" s="701">
        <v>2.65</v>
      </c>
      <c r="Q189" s="530" t="s">
        <v>35</v>
      </c>
      <c r="R189" s="486">
        <v>45.82</v>
      </c>
      <c r="S189" s="667" t="s">
        <v>841</v>
      </c>
      <c r="T189" s="637" t="s">
        <v>842</v>
      </c>
      <c r="U189" s="560"/>
      <c r="V189" s="2362" t="s">
        <v>916</v>
      </c>
      <c r="W189" s="40" t="s">
        <v>175</v>
      </c>
      <c r="X189" s="40" t="s">
        <v>1133</v>
      </c>
      <c r="Y189" s="487"/>
      <c r="Z189" s="906"/>
      <c r="AA189" s="906"/>
      <c r="AB189" s="907"/>
      <c r="AC189" s="908"/>
      <c r="AD189" s="2296" t="s">
        <v>846</v>
      </c>
      <c r="AE189" s="2375"/>
      <c r="AF189" s="724" t="s">
        <v>0</v>
      </c>
      <c r="AG189" s="40" t="str">
        <f>X190</f>
        <v>VFD Supply Fan Motors (20hp, nema 12 enclosure,no bypass)</v>
      </c>
      <c r="AH189" s="660">
        <f>Y190</f>
        <v>2087.8894285714287</v>
      </c>
      <c r="AI189" s="660">
        <v>1603.93</v>
      </c>
      <c r="AJ189" s="660">
        <v>1975.76</v>
      </c>
      <c r="AK189" s="660">
        <v>1798.59</v>
      </c>
      <c r="AL189" s="661">
        <v>1605</v>
      </c>
      <c r="AM189" s="662">
        <f>AH189-AVERAGE(AI189:AL189)</f>
        <v>342.06942857142872</v>
      </c>
      <c r="AN189" s="759">
        <f>AM189/AVERAGE(AI189:AL189)</f>
        <v>0.19593625263281939</v>
      </c>
      <c r="AO189" s="477"/>
      <c r="AP189" s="477"/>
      <c r="AQ189" s="477"/>
      <c r="AR189" s="477"/>
      <c r="AS189" s="477"/>
      <c r="AT189" s="477"/>
      <c r="AU189" s="477"/>
      <c r="AV189" s="477"/>
      <c r="AW189" s="477"/>
      <c r="AX189" s="477"/>
      <c r="AY189" s="477"/>
      <c r="AZ189" s="477"/>
      <c r="BA189" s="477"/>
      <c r="BB189" s="477"/>
      <c r="BC189" s="477"/>
      <c r="BD189" s="477"/>
      <c r="BE189" s="477"/>
      <c r="BF189" s="477"/>
      <c r="BG189" s="477"/>
    </row>
    <row r="190" spans="1:123" ht="15" customHeight="1">
      <c r="A190" s="2291"/>
      <c r="B190" s="2335" t="s">
        <v>1041</v>
      </c>
      <c r="C190" s="2370" t="s">
        <v>862</v>
      </c>
      <c r="D190" s="909" t="s">
        <v>1134</v>
      </c>
      <c r="E190" s="665">
        <v>21</v>
      </c>
      <c r="F190" s="697" t="s">
        <v>35</v>
      </c>
      <c r="G190" s="697" t="s">
        <v>35</v>
      </c>
      <c r="H190" s="698">
        <v>4716.91</v>
      </c>
      <c r="I190" s="699">
        <v>2334.63</v>
      </c>
      <c r="J190" s="910" t="s">
        <v>35</v>
      </c>
      <c r="K190" s="697" t="s">
        <v>35</v>
      </c>
      <c r="L190" s="910" t="s">
        <v>35</v>
      </c>
      <c r="M190" s="697" t="s">
        <v>35</v>
      </c>
      <c r="N190" s="680">
        <v>2230.89</v>
      </c>
      <c r="O190" s="674">
        <v>13</v>
      </c>
      <c r="P190" s="674">
        <v>171.63</v>
      </c>
      <c r="Q190" s="911">
        <f>E190/E189</f>
        <v>0.21428571428571427</v>
      </c>
      <c r="R190" s="2305">
        <f>SUMPRODUCT(Q190:Q191,N190:N191)</f>
        <v>478.04785714285708</v>
      </c>
      <c r="S190" s="487" t="s">
        <v>1135</v>
      </c>
      <c r="T190" s="488" t="s">
        <v>1014</v>
      </c>
      <c r="U190" s="452"/>
      <c r="V190" s="2363"/>
      <c r="W190" s="40" t="s">
        <v>0</v>
      </c>
      <c r="X190" s="40" t="s">
        <v>1136</v>
      </c>
      <c r="Y190" s="563">
        <f>((20*$R$189)+$R$190+$T$196+$R$193+$R$195)*(1+$T$198)</f>
        <v>2087.8894285714287</v>
      </c>
      <c r="Z190" s="563">
        <f>Y190</f>
        <v>2087.8894285714287</v>
      </c>
      <c r="AA190" s="912">
        <f>389.3/$H$189*Z190</f>
        <v>299.42582445271728</v>
      </c>
      <c r="AB190" s="473"/>
      <c r="AC190" s="913"/>
      <c r="AD190" s="741" t="s">
        <v>795</v>
      </c>
      <c r="AE190" s="914">
        <f>AVERAGE(AN189:AN195)</f>
        <v>8.3025951103915641E-2</v>
      </c>
      <c r="AF190" s="724" t="s">
        <v>0</v>
      </c>
      <c r="AG190" s="40" t="str">
        <f t="shared" ref="AG190:AH195" si="5">X191</f>
        <v>VFD Supply Fan Motors (30hp, nema 1 enclosure,no bypass)</v>
      </c>
      <c r="AH190" s="660">
        <f t="shared" si="5"/>
        <v>2055.4654285714282</v>
      </c>
      <c r="AI190" s="660">
        <v>1837.72</v>
      </c>
      <c r="AJ190" s="660">
        <v>2263.7399999999998</v>
      </c>
      <c r="AK190" s="660">
        <v>2060.75</v>
      </c>
      <c r="AL190" s="661">
        <v>1839.3</v>
      </c>
      <c r="AM190" s="662">
        <f t="shared" ref="AM190:AM195" si="6">AH190-AVERAGE(AI190:AL190)</f>
        <v>55.087928571428165</v>
      </c>
      <c r="AN190" s="759">
        <f t="shared" ref="AN190:AN195" si="7">AM190/AVERAGE(AI190:AL190)</f>
        <v>2.7538766343566733E-2</v>
      </c>
      <c r="AO190" s="477"/>
      <c r="AP190" s="477"/>
      <c r="AQ190" s="477"/>
      <c r="AR190" s="477"/>
      <c r="AS190" s="477"/>
      <c r="AT190" s="477"/>
      <c r="AU190" s="477"/>
      <c r="AV190" s="477"/>
      <c r="AW190" s="477"/>
      <c r="AX190" s="477"/>
      <c r="AY190" s="477"/>
      <c r="AZ190" s="477"/>
      <c r="BA190" s="477"/>
      <c r="BB190" s="477"/>
      <c r="BC190" s="477"/>
      <c r="BD190" s="477"/>
      <c r="BE190" s="477"/>
      <c r="BF190" s="477"/>
      <c r="BG190" s="477"/>
    </row>
    <row r="191" spans="1:123" ht="15" customHeight="1">
      <c r="A191" s="2291"/>
      <c r="B191" s="2298"/>
      <c r="C191" s="2376"/>
      <c r="D191" s="909" t="s">
        <v>1137</v>
      </c>
      <c r="E191" s="665">
        <v>77</v>
      </c>
      <c r="F191" s="697" t="s">
        <v>35</v>
      </c>
      <c r="G191" s="697" t="s">
        <v>35</v>
      </c>
      <c r="H191" s="698">
        <v>2168.4899999999998</v>
      </c>
      <c r="I191" s="699">
        <v>974.65</v>
      </c>
      <c r="J191" s="910" t="s">
        <v>35</v>
      </c>
      <c r="K191" s="697" t="s">
        <v>35</v>
      </c>
      <c r="L191" s="910" t="s">
        <v>35</v>
      </c>
      <c r="M191" s="697" t="s">
        <v>35</v>
      </c>
      <c r="N191" s="482">
        <v>0</v>
      </c>
      <c r="O191" s="483" t="s">
        <v>847</v>
      </c>
      <c r="P191" s="484" t="s">
        <v>847</v>
      </c>
      <c r="Q191" s="911">
        <f>E191/E189</f>
        <v>0.7857142857142857</v>
      </c>
      <c r="R191" s="2306"/>
      <c r="S191" s="667" t="s">
        <v>858</v>
      </c>
      <c r="T191" s="499" t="s">
        <v>859</v>
      </c>
      <c r="U191" s="470"/>
      <c r="V191" s="2363"/>
      <c r="W191" s="40" t="s">
        <v>0</v>
      </c>
      <c r="X191" s="40" t="s">
        <v>1138</v>
      </c>
      <c r="Y191" s="563">
        <f>((30*$R$189)+$R$190+$T$196+$R$193+$R$196)*(1+$T$198)</f>
        <v>2055.4654285714282</v>
      </c>
      <c r="Z191" s="563">
        <f t="shared" ref="Z191:Z196" si="8">Y191</f>
        <v>2055.4654285714282</v>
      </c>
      <c r="AA191" s="912">
        <f t="shared" ref="AA191:AA196" si="9">389.3/$H$189*Z191</f>
        <v>294.77587374211004</v>
      </c>
      <c r="AB191" s="473"/>
      <c r="AC191" s="913"/>
      <c r="AD191" s="741" t="s">
        <v>874</v>
      </c>
      <c r="AE191" s="709">
        <f>STDEV(AN189:AN195)</f>
        <v>0.14541407914716706</v>
      </c>
      <c r="AF191" s="724" t="s">
        <v>0</v>
      </c>
      <c r="AG191" s="40" t="str">
        <f t="shared" si="5"/>
        <v>VFD Supply Fan Motors (40hp, nema 3 enclosure, with bypass)</v>
      </c>
      <c r="AH191" s="660">
        <f t="shared" si="5"/>
        <v>4666.2934285714273</v>
      </c>
      <c r="AI191" s="660">
        <v>4910.9799999999996</v>
      </c>
      <c r="AJ191" s="660">
        <v>4420.41</v>
      </c>
      <c r="AK191" s="660">
        <v>4024.03</v>
      </c>
      <c r="AL191" s="661">
        <v>4915</v>
      </c>
      <c r="AM191" s="662">
        <f t="shared" si="6"/>
        <v>98.688428571427721</v>
      </c>
      <c r="AN191" s="759">
        <f t="shared" si="7"/>
        <v>2.1606165281679947E-2</v>
      </c>
      <c r="AO191" s="477"/>
      <c r="AP191" s="477"/>
      <c r="AQ191" s="477"/>
      <c r="AR191" s="477"/>
      <c r="AS191" s="477"/>
      <c r="AT191" s="477"/>
      <c r="AU191" s="477"/>
      <c r="AV191" s="477"/>
      <c r="AW191" s="477"/>
      <c r="AX191" s="477"/>
      <c r="AY191" s="477"/>
      <c r="AZ191" s="477"/>
      <c r="BA191" s="477"/>
      <c r="BB191" s="477"/>
      <c r="BC191" s="477"/>
      <c r="BD191" s="477"/>
      <c r="BE191" s="477"/>
      <c r="BF191" s="477"/>
      <c r="BG191" s="477"/>
    </row>
    <row r="192" spans="1:123" ht="15" customHeight="1">
      <c r="A192" s="2291"/>
      <c r="B192" s="2335" t="s">
        <v>1139</v>
      </c>
      <c r="C192" s="2370" t="s">
        <v>839</v>
      </c>
      <c r="D192" s="478" t="s">
        <v>840</v>
      </c>
      <c r="E192" s="178">
        <v>12</v>
      </c>
      <c r="F192" s="697" t="s">
        <v>35</v>
      </c>
      <c r="G192" s="697" t="s">
        <v>35</v>
      </c>
      <c r="H192" s="698">
        <v>3150.88</v>
      </c>
      <c r="I192" s="699">
        <v>1879.64</v>
      </c>
      <c r="J192" s="910" t="s">
        <v>35</v>
      </c>
      <c r="K192" s="479" t="s">
        <v>35</v>
      </c>
      <c r="L192" s="910" t="s">
        <v>35</v>
      </c>
      <c r="M192" s="697" t="s">
        <v>35</v>
      </c>
      <c r="N192" s="680">
        <v>789.74</v>
      </c>
      <c r="O192" s="674">
        <v>3.25</v>
      </c>
      <c r="P192" s="674">
        <v>242.7</v>
      </c>
      <c r="Q192" s="530" t="s">
        <v>35</v>
      </c>
      <c r="R192" s="911">
        <f>N192</f>
        <v>789.74</v>
      </c>
      <c r="S192" s="749" t="s">
        <v>310</v>
      </c>
      <c r="T192" s="749" t="s">
        <v>1019</v>
      </c>
      <c r="U192" s="591"/>
      <c r="V192" s="2363"/>
      <c r="W192" s="40" t="s">
        <v>0</v>
      </c>
      <c r="X192" s="40" t="s">
        <v>1140</v>
      </c>
      <c r="Y192" s="563">
        <f>((40*$R$189)+$R$190+$T$196+$R$192+$R$194)*(1+$T$198)</f>
        <v>4666.2934285714273</v>
      </c>
      <c r="Z192" s="563">
        <f t="shared" si="8"/>
        <v>4666.2934285714273</v>
      </c>
      <c r="AA192" s="912">
        <f t="shared" si="9"/>
        <v>669.19671983984881</v>
      </c>
      <c r="AB192" s="473"/>
      <c r="AC192" s="913"/>
      <c r="AD192" s="741" t="s">
        <v>977</v>
      </c>
      <c r="AE192" s="914">
        <f>MIN(AN189:AN195)</f>
        <v>-7.5194389701444139E-2</v>
      </c>
      <c r="AF192" s="724" t="s">
        <v>0</v>
      </c>
      <c r="AG192" s="40" t="str">
        <f t="shared" si="5"/>
        <v>VFD Supply Fan Motors (60hp, nema 12 enclosure, no bypass)</v>
      </c>
      <c r="AH192" s="660">
        <f t="shared" si="5"/>
        <v>4287.2494285714283</v>
      </c>
      <c r="AI192" s="660">
        <v>4233.8</v>
      </c>
      <c r="AJ192" s="660">
        <v>5215.29</v>
      </c>
      <c r="AK192" s="660">
        <v>4747.63</v>
      </c>
      <c r="AL192" s="661">
        <v>4237.5</v>
      </c>
      <c r="AM192" s="662">
        <f t="shared" si="6"/>
        <v>-321.30557142857197</v>
      </c>
      <c r="AN192" s="759">
        <f t="shared" si="7"/>
        <v>-6.971937438710657E-2</v>
      </c>
      <c r="AO192" s="477"/>
      <c r="AP192" s="477"/>
      <c r="AQ192" s="477"/>
      <c r="AR192" s="477"/>
      <c r="AS192" s="477"/>
      <c r="AT192" s="477"/>
      <c r="AU192" s="477"/>
      <c r="AV192" s="477"/>
      <c r="AW192" s="477"/>
      <c r="AX192" s="477"/>
      <c r="AY192" s="477"/>
      <c r="AZ192" s="477"/>
      <c r="BA192" s="477"/>
      <c r="BB192" s="477"/>
      <c r="BC192" s="477"/>
      <c r="BD192" s="477"/>
      <c r="BE192" s="477"/>
      <c r="BF192" s="477"/>
      <c r="BG192" s="477"/>
    </row>
    <row r="193" spans="1:123" ht="15" customHeight="1">
      <c r="A193" s="2291"/>
      <c r="B193" s="2298"/>
      <c r="C193" s="2376"/>
      <c r="D193" s="478" t="s">
        <v>64</v>
      </c>
      <c r="E193" s="178">
        <v>86</v>
      </c>
      <c r="F193" s="697" t="s">
        <v>35</v>
      </c>
      <c r="G193" s="697" t="s">
        <v>35</v>
      </c>
      <c r="H193" s="698">
        <v>2653.69</v>
      </c>
      <c r="I193" s="699">
        <v>1704.31</v>
      </c>
      <c r="J193" s="910" t="s">
        <v>35</v>
      </c>
      <c r="K193" s="697" t="s">
        <v>35</v>
      </c>
      <c r="L193" s="910" t="s">
        <v>35</v>
      </c>
      <c r="M193" s="697" t="s">
        <v>35</v>
      </c>
      <c r="N193" s="482">
        <v>0</v>
      </c>
      <c r="O193" s="483" t="s">
        <v>847</v>
      </c>
      <c r="P193" s="484" t="s">
        <v>847</v>
      </c>
      <c r="Q193" s="530" t="s">
        <v>35</v>
      </c>
      <c r="R193" s="911">
        <f t="shared" ref="R193:R196" si="10">N193</f>
        <v>0</v>
      </c>
      <c r="S193" s="667" t="s">
        <v>868</v>
      </c>
      <c r="T193" s="637" t="s">
        <v>869</v>
      </c>
      <c r="U193" s="560"/>
      <c r="V193" s="2363"/>
      <c r="W193" s="40" t="s">
        <v>0</v>
      </c>
      <c r="X193" s="40" t="s">
        <v>1141</v>
      </c>
      <c r="Y193" s="563">
        <f>((60*$R$189)+$R$190+$T$196+$R$193+$R$195)*(1+$T$198)</f>
        <v>4287.2494285714283</v>
      </c>
      <c r="Z193" s="563">
        <f t="shared" si="8"/>
        <v>4287.2494285714283</v>
      </c>
      <c r="AA193" s="912">
        <f t="shared" si="9"/>
        <v>614.83772905674437</v>
      </c>
      <c r="AB193" s="473"/>
      <c r="AC193" s="913"/>
      <c r="AD193" s="754" t="s">
        <v>978</v>
      </c>
      <c r="AE193" s="915">
        <f>MAX(AN189:AN195)</f>
        <v>0.30872048067520541</v>
      </c>
      <c r="AF193" s="724" t="s">
        <v>0</v>
      </c>
      <c r="AG193" s="40" t="str">
        <f t="shared" si="5"/>
        <v>VFD Supply Fan Motors (75hp, nema 12 enclosure,no bypass)</v>
      </c>
      <c r="AH193" s="660">
        <f t="shared" si="5"/>
        <v>5112.0094285714285</v>
      </c>
      <c r="AI193" s="660">
        <v>3588.51</v>
      </c>
      <c r="AJ193" s="660">
        <v>4420.21</v>
      </c>
      <c r="AK193" s="660">
        <v>4024.03</v>
      </c>
      <c r="AL193" s="661">
        <v>3591.7</v>
      </c>
      <c r="AM193" s="662">
        <f t="shared" si="6"/>
        <v>1205.8969285714284</v>
      </c>
      <c r="AN193" s="759">
        <f t="shared" si="7"/>
        <v>0.30872048067520541</v>
      </c>
      <c r="AO193" s="477"/>
      <c r="AP193" s="477"/>
      <c r="AQ193" s="477"/>
      <c r="AR193" s="477"/>
      <c r="AS193" s="477"/>
      <c r="AT193" s="477"/>
      <c r="AU193" s="477"/>
      <c r="AV193" s="477"/>
      <c r="AW193" s="477"/>
      <c r="AX193" s="477"/>
      <c r="AY193" s="477"/>
      <c r="AZ193" s="477"/>
      <c r="BA193" s="477"/>
      <c r="BB193" s="477"/>
      <c r="BC193" s="477"/>
      <c r="BD193" s="477"/>
      <c r="BE193" s="477"/>
      <c r="BF193" s="477"/>
      <c r="BG193" s="477"/>
    </row>
    <row r="194" spans="1:123" ht="15" customHeight="1">
      <c r="A194" s="2291"/>
      <c r="B194" s="2348" t="s">
        <v>1142</v>
      </c>
      <c r="C194" s="2370" t="s">
        <v>862</v>
      </c>
      <c r="D194" s="704" t="s">
        <v>1143</v>
      </c>
      <c r="E194" s="665">
        <v>18</v>
      </c>
      <c r="F194" s="697" t="s">
        <v>35</v>
      </c>
      <c r="G194" s="697" t="s">
        <v>35</v>
      </c>
      <c r="H194" s="698">
        <v>4001.69</v>
      </c>
      <c r="I194" s="699">
        <v>2313.4299999999998</v>
      </c>
      <c r="J194" s="834" t="s">
        <v>35</v>
      </c>
      <c r="K194" s="479" t="s">
        <v>35</v>
      </c>
      <c r="L194" s="910" t="s">
        <v>35</v>
      </c>
      <c r="M194" s="697" t="s">
        <v>35</v>
      </c>
      <c r="N194" s="482">
        <v>927.75</v>
      </c>
      <c r="O194" s="497">
        <v>4.3600000000000003</v>
      </c>
      <c r="P194" s="497">
        <v>212.92</v>
      </c>
      <c r="Q194" s="530" t="s">
        <v>35</v>
      </c>
      <c r="R194" s="911">
        <f t="shared" si="10"/>
        <v>927.75</v>
      </c>
      <c r="S194" s="487">
        <v>98</v>
      </c>
      <c r="T194" s="749" t="s">
        <v>35</v>
      </c>
      <c r="U194" s="591"/>
      <c r="V194" s="2363"/>
      <c r="W194" s="40" t="s">
        <v>0</v>
      </c>
      <c r="X194" s="40" t="s">
        <v>1144</v>
      </c>
      <c r="Y194" s="563">
        <f>((75*$R$189)+$R$190+$T$196+$R$193+$R$195)*(1+$T$198)</f>
        <v>5112.0094285714285</v>
      </c>
      <c r="Z194" s="563">
        <f t="shared" si="8"/>
        <v>5112.0094285714285</v>
      </c>
      <c r="AA194" s="912">
        <f t="shared" si="9"/>
        <v>733.11719328325455</v>
      </c>
      <c r="AB194" s="473"/>
      <c r="AC194" s="476"/>
      <c r="AD194" s="520"/>
      <c r="AE194" s="521"/>
      <c r="AF194" s="724" t="s">
        <v>0</v>
      </c>
      <c r="AG194" s="40" t="str">
        <f t="shared" si="5"/>
        <v>VFD Supply Fan Motors (100hp, nema 1 enclosure,no bypass)</v>
      </c>
      <c r="AH194" s="660">
        <f t="shared" si="5"/>
        <v>5904.3454285714288</v>
      </c>
      <c r="AI194" s="660">
        <v>4627</v>
      </c>
      <c r="AJ194" s="660">
        <v>5699.65</v>
      </c>
      <c r="AK194" s="660">
        <v>5188.55</v>
      </c>
      <c r="AL194" s="661">
        <v>4631.1000000000004</v>
      </c>
      <c r="AM194" s="662">
        <f t="shared" si="6"/>
        <v>867.77042857142806</v>
      </c>
      <c r="AN194" s="759">
        <f t="shared" si="7"/>
        <v>0.17229375688268872</v>
      </c>
      <c r="AO194" s="477"/>
      <c r="AP194" s="477"/>
      <c r="AQ194" s="477"/>
      <c r="AR194" s="477"/>
      <c r="AS194" s="477"/>
      <c r="AT194" s="477"/>
      <c r="AU194" s="477"/>
      <c r="AV194" s="477"/>
      <c r="AW194" s="477"/>
      <c r="AX194" s="477"/>
      <c r="AY194" s="477"/>
      <c r="AZ194" s="477"/>
      <c r="BA194" s="477"/>
      <c r="BB194" s="477"/>
      <c r="BC194" s="477"/>
      <c r="BD194" s="477"/>
      <c r="BE194" s="477"/>
      <c r="BF194" s="477"/>
      <c r="BG194" s="477"/>
    </row>
    <row r="195" spans="1:123" ht="15" customHeight="1">
      <c r="A195" s="2291"/>
      <c r="B195" s="2349"/>
      <c r="C195" s="2377"/>
      <c r="D195" s="500">
        <v>12</v>
      </c>
      <c r="E195" s="665">
        <v>17</v>
      </c>
      <c r="F195" s="697" t="s">
        <v>35</v>
      </c>
      <c r="G195" s="697" t="s">
        <v>35</v>
      </c>
      <c r="H195" s="698">
        <v>2532.48</v>
      </c>
      <c r="I195" s="699">
        <v>1220.6500000000001</v>
      </c>
      <c r="J195" s="834" t="s">
        <v>35</v>
      </c>
      <c r="K195" s="479" t="s">
        <v>35</v>
      </c>
      <c r="L195" s="910" t="s">
        <v>35</v>
      </c>
      <c r="M195" s="697" t="s">
        <v>35</v>
      </c>
      <c r="N195" s="482">
        <v>485.22</v>
      </c>
      <c r="O195" s="497">
        <v>2.74</v>
      </c>
      <c r="P195" s="497">
        <v>176.85</v>
      </c>
      <c r="Q195" s="530" t="s">
        <v>35</v>
      </c>
      <c r="R195" s="911">
        <f t="shared" si="10"/>
        <v>485.22</v>
      </c>
      <c r="S195" s="667" t="s">
        <v>876</v>
      </c>
      <c r="T195" s="637" t="s">
        <v>877</v>
      </c>
      <c r="U195" s="560"/>
      <c r="V195" s="2363"/>
      <c r="W195" s="40" t="s">
        <v>0</v>
      </c>
      <c r="X195" s="40" t="s">
        <v>1145</v>
      </c>
      <c r="Y195" s="563">
        <f>((100*$R$189)+$R$190+$T$196+$R$193+$R$196)*(1+$T$198)</f>
        <v>5904.3454285714288</v>
      </c>
      <c r="Z195" s="563">
        <f t="shared" si="8"/>
        <v>5904.3454285714288</v>
      </c>
      <c r="AA195" s="912">
        <f t="shared" si="9"/>
        <v>846.74670679915766</v>
      </c>
      <c r="AB195" s="473"/>
      <c r="AC195" s="476"/>
      <c r="AD195" s="524"/>
      <c r="AE195" s="525"/>
      <c r="AF195" s="756" t="s">
        <v>0</v>
      </c>
      <c r="AG195" s="40" t="str">
        <f t="shared" si="5"/>
        <v>VFD Supply Fan Motors (50hp, nema 1 enclosure,no bypass)</v>
      </c>
      <c r="AH195" s="660">
        <f t="shared" si="5"/>
        <v>3155.1454285714285</v>
      </c>
      <c r="AI195" s="916">
        <v>3134.25</v>
      </c>
      <c r="AJ195" s="916">
        <v>3860.85</v>
      </c>
      <c r="AK195" s="916">
        <v>3514.64</v>
      </c>
      <c r="AL195" s="917">
        <v>3137</v>
      </c>
      <c r="AM195" s="662">
        <f t="shared" si="6"/>
        <v>-256.53957142857143</v>
      </c>
      <c r="AN195" s="759">
        <f t="shared" si="7"/>
        <v>-7.5194389701444139E-2</v>
      </c>
      <c r="AO195" s="477"/>
      <c r="AP195" s="477"/>
      <c r="AQ195" s="477"/>
      <c r="AR195" s="477"/>
      <c r="AS195" s="477"/>
      <c r="AT195" s="477"/>
      <c r="AU195" s="477"/>
      <c r="AV195" s="477"/>
      <c r="AW195" s="477"/>
      <c r="AX195" s="477"/>
      <c r="AY195" s="477"/>
      <c r="AZ195" s="477"/>
      <c r="BA195" s="477"/>
      <c r="BB195" s="477"/>
      <c r="BC195" s="477"/>
      <c r="BD195" s="477"/>
      <c r="BE195" s="477"/>
      <c r="BF195" s="477"/>
      <c r="BG195" s="477"/>
    </row>
    <row r="196" spans="1:123" ht="15" customHeight="1">
      <c r="A196" s="2291"/>
      <c r="B196" s="2350"/>
      <c r="C196" s="2376"/>
      <c r="D196" s="500">
        <v>1</v>
      </c>
      <c r="E196" s="665">
        <v>63</v>
      </c>
      <c r="F196" s="697" t="s">
        <v>35</v>
      </c>
      <c r="G196" s="697" t="s">
        <v>35</v>
      </c>
      <c r="H196" s="698">
        <v>2395.96</v>
      </c>
      <c r="I196" s="699">
        <v>1485.2</v>
      </c>
      <c r="J196" s="834" t="s">
        <v>35</v>
      </c>
      <c r="K196" s="479" t="s">
        <v>35</v>
      </c>
      <c r="L196" s="910" t="s">
        <v>35</v>
      </c>
      <c r="M196" s="697" t="s">
        <v>35</v>
      </c>
      <c r="N196" s="482">
        <v>0</v>
      </c>
      <c r="O196" s="483" t="s">
        <v>847</v>
      </c>
      <c r="P196" s="484" t="s">
        <v>847</v>
      </c>
      <c r="Q196" s="530" t="s">
        <v>35</v>
      </c>
      <c r="R196" s="911">
        <f t="shared" si="10"/>
        <v>0</v>
      </c>
      <c r="S196" s="487">
        <v>0.87229999999999996</v>
      </c>
      <c r="T196" s="918">
        <v>-139.76</v>
      </c>
      <c r="U196" s="706"/>
      <c r="V196" s="2364"/>
      <c r="W196" s="40" t="s">
        <v>0</v>
      </c>
      <c r="X196" s="40" t="s">
        <v>1146</v>
      </c>
      <c r="Y196" s="563">
        <f>((50*$R$189)+$R$190+$T$196+$R$193+$R$196)*(1+$T$198)</f>
        <v>3155.1454285714285</v>
      </c>
      <c r="Z196" s="563">
        <f t="shared" si="8"/>
        <v>3155.1454285714285</v>
      </c>
      <c r="AA196" s="912">
        <f t="shared" si="9"/>
        <v>452.48182604412364</v>
      </c>
      <c r="AB196" s="473"/>
      <c r="AC196" s="476"/>
      <c r="AD196" s="524"/>
      <c r="AE196" s="525"/>
      <c r="AF196" s="919"/>
      <c r="AG196" s="517"/>
      <c r="AH196" s="761"/>
      <c r="AI196" s="761"/>
      <c r="AJ196" s="761"/>
      <c r="AK196" s="761"/>
      <c r="AL196" s="761"/>
      <c r="AM196" s="477"/>
      <c r="AN196" s="477"/>
      <c r="AO196" s="477"/>
      <c r="AP196" s="477"/>
      <c r="AQ196" s="477"/>
      <c r="AR196" s="477"/>
      <c r="AS196" s="477"/>
      <c r="AT196" s="477"/>
      <c r="AU196" s="477"/>
      <c r="AV196" s="477"/>
      <c r="AW196" s="477"/>
      <c r="AX196" s="477"/>
      <c r="AY196" s="477"/>
      <c r="AZ196" s="477"/>
      <c r="BA196" s="477"/>
      <c r="BB196" s="477"/>
      <c r="BC196" s="477"/>
      <c r="BD196" s="477"/>
      <c r="BE196" s="477"/>
      <c r="BF196" s="477"/>
      <c r="BG196" s="477"/>
    </row>
    <row r="197" spans="1:123" ht="15" customHeight="1">
      <c r="A197" s="2291"/>
      <c r="B197" s="2307" t="s">
        <v>1021</v>
      </c>
      <c r="C197" s="858"/>
      <c r="D197" s="858"/>
      <c r="E197" s="858"/>
      <c r="F197" s="858"/>
      <c r="G197" s="858"/>
      <c r="H197" s="858"/>
      <c r="I197" s="858"/>
      <c r="J197" s="920"/>
      <c r="K197" s="921"/>
      <c r="L197" s="922"/>
      <c r="M197" s="858"/>
      <c r="N197" s="923"/>
      <c r="O197" s="924"/>
      <c r="P197" s="925"/>
      <c r="Q197" s="859"/>
      <c r="R197" s="859"/>
      <c r="S197" s="667" t="s">
        <v>883</v>
      </c>
      <c r="T197" s="637" t="s">
        <v>884</v>
      </c>
      <c r="U197" s="560"/>
      <c r="V197" s="532"/>
      <c r="W197" s="515"/>
      <c r="X197" s="515"/>
      <c r="Y197" s="515"/>
      <c r="Z197" s="515"/>
      <c r="AA197" s="926"/>
      <c r="AB197" s="907"/>
      <c r="AC197" s="913"/>
      <c r="AD197" s="525"/>
      <c r="AE197" s="525"/>
      <c r="AF197" s="475"/>
      <c r="AG197" s="476"/>
      <c r="AH197" s="477"/>
      <c r="AI197" s="477"/>
      <c r="AJ197" s="477"/>
      <c r="AK197" s="477"/>
      <c r="AL197" s="477"/>
      <c r="AM197" s="477"/>
      <c r="AN197" s="477"/>
      <c r="AO197" s="477"/>
      <c r="AP197" s="477"/>
      <c r="AQ197" s="477"/>
      <c r="AR197" s="477"/>
      <c r="AS197" s="477"/>
      <c r="AT197" s="477"/>
      <c r="AU197" s="477"/>
      <c r="AV197" s="477"/>
      <c r="AW197" s="477"/>
      <c r="AX197" s="477"/>
      <c r="AY197" s="477"/>
      <c r="AZ197" s="477"/>
      <c r="BA197" s="477"/>
      <c r="BB197" s="477"/>
      <c r="BC197" s="477"/>
      <c r="BD197" s="477"/>
      <c r="BE197" s="477"/>
      <c r="BF197" s="477"/>
      <c r="BG197" s="477"/>
    </row>
    <row r="198" spans="1:123" ht="15.75" customHeight="1" thickBot="1">
      <c r="A198" s="2292"/>
      <c r="B198" s="2331"/>
      <c r="C198" s="858"/>
      <c r="D198" s="858"/>
      <c r="E198" s="858"/>
      <c r="F198" s="858"/>
      <c r="G198" s="858"/>
      <c r="H198" s="858"/>
      <c r="I198" s="858"/>
      <c r="J198" s="927"/>
      <c r="K198" s="928"/>
      <c r="L198" s="922"/>
      <c r="M198" s="858"/>
      <c r="N198" s="929"/>
      <c r="O198" s="925"/>
      <c r="P198" s="925"/>
      <c r="Q198" s="859"/>
      <c r="R198" s="859"/>
      <c r="S198" s="930">
        <v>389.3</v>
      </c>
      <c r="T198" s="931">
        <v>0.2</v>
      </c>
      <c r="U198" s="932"/>
      <c r="V198" s="518"/>
      <c r="W198" s="515"/>
      <c r="X198" s="515"/>
      <c r="Y198" s="515"/>
      <c r="Z198" s="515"/>
      <c r="AA198" s="933"/>
      <c r="AB198" s="907"/>
      <c r="AC198" s="913"/>
      <c r="AD198" s="525"/>
      <c r="AE198" s="525"/>
      <c r="AF198" s="934"/>
      <c r="AG198" s="476"/>
      <c r="AH198" s="477"/>
      <c r="AI198" s="477"/>
      <c r="AJ198" s="477"/>
      <c r="AK198" s="477"/>
      <c r="AL198" s="477"/>
      <c r="AM198" s="477"/>
      <c r="AN198" s="477"/>
      <c r="AO198" s="477"/>
      <c r="AP198" s="477"/>
      <c r="AQ198" s="477"/>
      <c r="AR198" s="477"/>
      <c r="AS198" s="477"/>
      <c r="AT198" s="477"/>
      <c r="AU198" s="477"/>
      <c r="AV198" s="477"/>
      <c r="AW198" s="477"/>
      <c r="AX198" s="477"/>
      <c r="AY198" s="477"/>
      <c r="AZ198" s="477"/>
      <c r="BA198" s="477"/>
      <c r="BB198" s="477"/>
      <c r="BC198" s="477"/>
      <c r="BD198" s="477"/>
      <c r="BE198" s="477"/>
      <c r="BF198" s="477"/>
      <c r="BG198" s="477"/>
    </row>
    <row r="199" spans="1:123" s="626" customFormat="1" ht="9" customHeight="1" thickBot="1">
      <c r="A199" s="540"/>
      <c r="B199" s="541"/>
      <c r="C199" s="444"/>
      <c r="D199" s="445"/>
      <c r="E199" s="445"/>
      <c r="F199" s="445"/>
      <c r="G199" s="445"/>
      <c r="H199" s="445"/>
      <c r="I199" s="445"/>
      <c r="J199" s="446"/>
      <c r="K199" s="445"/>
      <c r="L199" s="446"/>
      <c r="M199" s="447"/>
      <c r="N199" s="448"/>
      <c r="O199" s="449"/>
      <c r="P199" s="449"/>
      <c r="Q199" s="450"/>
      <c r="R199" s="450"/>
      <c r="S199" s="451"/>
      <c r="T199" s="451"/>
      <c r="U199" s="452"/>
      <c r="V199" s="453"/>
      <c r="W199" s="447"/>
      <c r="X199" s="447"/>
      <c r="Y199" s="451"/>
      <c r="Z199" s="451"/>
      <c r="AA199" s="451"/>
      <c r="AB199" s="454"/>
      <c r="AC199" s="447"/>
      <c r="AD199" s="447"/>
      <c r="AE199" s="447"/>
      <c r="AF199" s="455"/>
      <c r="AG199" s="447"/>
      <c r="AH199" s="456"/>
      <c r="AI199" s="456"/>
      <c r="AJ199" s="456"/>
      <c r="AK199" s="456"/>
      <c r="AL199" s="456"/>
      <c r="AM199" s="653"/>
      <c r="AN199" s="653"/>
      <c r="AO199" s="653"/>
      <c r="AP199" s="653"/>
      <c r="AQ199" s="653"/>
      <c r="AR199" s="653"/>
      <c r="AS199" s="653"/>
      <c r="AT199" s="653"/>
      <c r="AU199" s="653"/>
      <c r="AV199" s="653"/>
      <c r="AW199" s="653"/>
      <c r="AX199" s="653"/>
      <c r="AY199" s="653"/>
      <c r="AZ199" s="653"/>
      <c r="BA199" s="653"/>
      <c r="BB199" s="653"/>
      <c r="BC199" s="653"/>
      <c r="BD199" s="653"/>
      <c r="BE199" s="653"/>
      <c r="BF199" s="653"/>
      <c r="BG199" s="653"/>
      <c r="BH199" s="432"/>
      <c r="CF199" s="542"/>
      <c r="CG199" s="542"/>
      <c r="CH199" s="542"/>
      <c r="CI199" s="542"/>
      <c r="CJ199" s="542"/>
      <c r="CK199" s="542"/>
      <c r="CL199" s="542"/>
      <c r="CM199" s="542"/>
      <c r="CN199" s="542"/>
      <c r="CO199" s="542"/>
      <c r="CP199" s="542"/>
      <c r="CQ199" s="542"/>
      <c r="CR199" s="542"/>
      <c r="CS199" s="542"/>
      <c r="CT199" s="542"/>
      <c r="CU199" s="542"/>
      <c r="CV199" s="542"/>
      <c r="CW199" s="542"/>
      <c r="CX199" s="542"/>
      <c r="CY199" s="542"/>
      <c r="CZ199" s="542"/>
      <c r="DA199" s="542"/>
      <c r="DB199" s="542"/>
      <c r="DC199" s="542"/>
      <c r="DD199" s="542"/>
      <c r="DE199" s="542"/>
      <c r="DF199" s="542"/>
      <c r="DG199" s="542"/>
      <c r="DH199" s="542"/>
      <c r="DI199" s="543"/>
      <c r="DJ199" s="542"/>
      <c r="DK199" s="542"/>
      <c r="DL199" s="542"/>
      <c r="DM199" s="542"/>
      <c r="DN199" s="542"/>
      <c r="DO199" s="542"/>
      <c r="DP199" s="542"/>
      <c r="DQ199" s="542"/>
      <c r="DR199" s="542"/>
      <c r="DS199" s="542"/>
    </row>
    <row r="200" spans="1:123" ht="15" customHeight="1">
      <c r="A200" s="2372" t="s">
        <v>1147</v>
      </c>
      <c r="B200" s="492" t="s">
        <v>1130</v>
      </c>
      <c r="C200" s="493" t="s">
        <v>853</v>
      </c>
      <c r="D200" s="478" t="s">
        <v>1131</v>
      </c>
      <c r="E200" s="665">
        <v>86</v>
      </c>
      <c r="F200" s="905">
        <v>4.5</v>
      </c>
      <c r="G200" s="905">
        <v>3.05</v>
      </c>
      <c r="H200" s="698">
        <v>807.81</v>
      </c>
      <c r="I200" s="699">
        <v>489.47</v>
      </c>
      <c r="J200" s="834" t="s">
        <v>35</v>
      </c>
      <c r="K200" s="697" t="s">
        <v>35</v>
      </c>
      <c r="L200" s="495" t="s">
        <v>853</v>
      </c>
      <c r="M200" s="700" t="s">
        <v>1132</v>
      </c>
      <c r="N200" s="482">
        <v>38.75</v>
      </c>
      <c r="O200" s="497">
        <v>11.21</v>
      </c>
      <c r="P200" s="701">
        <v>3.45</v>
      </c>
      <c r="Q200" s="530" t="s">
        <v>35</v>
      </c>
      <c r="R200" s="486">
        <v>47.97</v>
      </c>
      <c r="S200" s="667" t="s">
        <v>841</v>
      </c>
      <c r="T200" s="637" t="s">
        <v>842</v>
      </c>
      <c r="U200" s="560"/>
      <c r="V200" s="2362" t="s">
        <v>916</v>
      </c>
      <c r="W200" s="40" t="s">
        <v>175</v>
      </c>
      <c r="X200" s="40" t="s">
        <v>1133</v>
      </c>
      <c r="Y200" s="487"/>
      <c r="Z200" s="906"/>
      <c r="AA200" s="906"/>
      <c r="AB200" s="907"/>
      <c r="AC200" s="908"/>
      <c r="AD200" s="2296" t="s">
        <v>846</v>
      </c>
      <c r="AE200" s="2375"/>
      <c r="AF200" s="724" t="s">
        <v>0</v>
      </c>
      <c r="AG200" s="40" t="s">
        <v>1148</v>
      </c>
      <c r="AH200" s="681">
        <f>Y201</f>
        <v>827.71046511627912</v>
      </c>
      <c r="AI200" s="660">
        <v>591.66</v>
      </c>
      <c r="AJ200" s="660">
        <v>728.82</v>
      </c>
      <c r="AK200" s="660">
        <v>663.47</v>
      </c>
      <c r="AL200" s="661">
        <v>592.20000000000005</v>
      </c>
      <c r="AM200" s="662">
        <f>AH200-AVERAGE(AI200:AL200)</f>
        <v>183.6729651162791</v>
      </c>
      <c r="AN200" s="759">
        <f>AM200/AVERAGE(AI200:AL200)</f>
        <v>0.28518986101939575</v>
      </c>
      <c r="AO200" s="477"/>
      <c r="AP200" s="477"/>
      <c r="AQ200" s="477"/>
      <c r="AR200" s="477"/>
      <c r="AS200" s="477"/>
      <c r="AT200" s="477"/>
      <c r="AU200" s="477"/>
      <c r="AV200" s="477"/>
      <c r="AW200" s="477"/>
      <c r="AX200" s="477"/>
      <c r="AY200" s="477"/>
      <c r="AZ200" s="477"/>
      <c r="BA200" s="477"/>
      <c r="BB200" s="477"/>
      <c r="BC200" s="477"/>
      <c r="BD200" s="477"/>
      <c r="BE200" s="477"/>
      <c r="BF200" s="477"/>
      <c r="BG200" s="477"/>
    </row>
    <row r="201" spans="1:123" ht="15" customHeight="1">
      <c r="A201" s="2373"/>
      <c r="B201" s="2335" t="s">
        <v>1041</v>
      </c>
      <c r="C201" s="2370" t="s">
        <v>862</v>
      </c>
      <c r="D201" s="909" t="s">
        <v>1134</v>
      </c>
      <c r="E201" s="665">
        <v>15</v>
      </c>
      <c r="F201" s="697" t="s">
        <v>35</v>
      </c>
      <c r="G201" s="697" t="s">
        <v>35</v>
      </c>
      <c r="H201" s="698">
        <v>1408.27</v>
      </c>
      <c r="I201" s="699">
        <v>625.71</v>
      </c>
      <c r="J201" s="910" t="s">
        <v>35</v>
      </c>
      <c r="K201" s="697" t="s">
        <v>35</v>
      </c>
      <c r="L201" s="910" t="s">
        <v>35</v>
      </c>
      <c r="M201" s="697" t="s">
        <v>35</v>
      </c>
      <c r="N201" s="680">
        <v>447.68</v>
      </c>
      <c r="O201" s="674">
        <v>14.54</v>
      </c>
      <c r="P201" s="674">
        <v>30.79</v>
      </c>
      <c r="Q201" s="935">
        <f>E201/E200</f>
        <v>0.1744186046511628</v>
      </c>
      <c r="R201" s="2305">
        <f>SUMPRODUCT(Q201:Q202,N201:N202)</f>
        <v>78.083720930232559</v>
      </c>
      <c r="S201" s="487" t="s">
        <v>1135</v>
      </c>
      <c r="T201" s="488" t="s">
        <v>1014</v>
      </c>
      <c r="U201" s="452"/>
      <c r="V201" s="2363"/>
      <c r="W201" s="40" t="s">
        <v>0</v>
      </c>
      <c r="X201" s="40" t="s">
        <v>1149</v>
      </c>
      <c r="Y201" s="683">
        <f>((1.5*$R$200)+$R$201+$T$207+$R$204+$R$206+$R$209)*(1+$T$209)</f>
        <v>827.71046511627912</v>
      </c>
      <c r="Z201" s="683">
        <f>Y201</f>
        <v>827.71046511627912</v>
      </c>
      <c r="AA201" s="912">
        <f>71.27/$H$200*Z201</f>
        <v>73.025742252308348</v>
      </c>
      <c r="AB201" s="473"/>
      <c r="AC201" s="913"/>
      <c r="AD201" s="741" t="s">
        <v>795</v>
      </c>
      <c r="AE201" s="914">
        <f>AVERAGE(AN200:AN203)</f>
        <v>0.12865954329474599</v>
      </c>
      <c r="AF201" s="724" t="s">
        <v>0</v>
      </c>
      <c r="AG201" s="40" t="s">
        <v>1150</v>
      </c>
      <c r="AH201" s="681">
        <f t="shared" ref="AH201" si="11">Y202</f>
        <v>730.87646511627906</v>
      </c>
      <c r="AI201" s="660">
        <v>616.9</v>
      </c>
      <c r="AJ201" s="660">
        <v>759.91</v>
      </c>
      <c r="AK201" s="660">
        <v>569</v>
      </c>
      <c r="AL201" s="661">
        <v>617.4</v>
      </c>
      <c r="AM201" s="662">
        <f t="shared" ref="AM201" si="12">AH201-AVERAGE(AI201:AL201)</f>
        <v>90.073965116279055</v>
      </c>
      <c r="AN201" s="759">
        <f t="shared" ref="AN201" si="13">AM201/AVERAGE(AI201:AL201)</f>
        <v>0.14056431601980182</v>
      </c>
      <c r="AO201" s="477"/>
      <c r="AP201" s="477"/>
      <c r="AQ201" s="477"/>
      <c r="AR201" s="477"/>
      <c r="AS201" s="477"/>
      <c r="AT201" s="477"/>
      <c r="AU201" s="477"/>
      <c r="AV201" s="477"/>
      <c r="AW201" s="477"/>
      <c r="AX201" s="477"/>
      <c r="AY201" s="477"/>
      <c r="AZ201" s="477"/>
      <c r="BA201" s="477"/>
      <c r="BB201" s="477"/>
      <c r="BC201" s="477"/>
      <c r="BD201" s="477"/>
      <c r="BE201" s="477"/>
      <c r="BF201" s="477"/>
      <c r="BG201" s="477"/>
    </row>
    <row r="202" spans="1:123" ht="15" customHeight="1">
      <c r="A202" s="2373"/>
      <c r="B202" s="2298"/>
      <c r="C202" s="2376"/>
      <c r="D202" s="909" t="s">
        <v>1137</v>
      </c>
      <c r="E202" s="665">
        <v>71</v>
      </c>
      <c r="F202" s="697" t="s">
        <v>35</v>
      </c>
      <c r="G202" s="697" t="s">
        <v>35</v>
      </c>
      <c r="H202" s="698">
        <v>680.95</v>
      </c>
      <c r="I202" s="699">
        <v>345.01</v>
      </c>
      <c r="J202" s="910" t="s">
        <v>35</v>
      </c>
      <c r="K202" s="697" t="s">
        <v>35</v>
      </c>
      <c r="L202" s="910" t="s">
        <v>35</v>
      </c>
      <c r="M202" s="697" t="s">
        <v>35</v>
      </c>
      <c r="N202" s="482">
        <v>0</v>
      </c>
      <c r="O202" s="483" t="s">
        <v>847</v>
      </c>
      <c r="P202" s="484" t="s">
        <v>847</v>
      </c>
      <c r="Q202" s="935">
        <f>E202/E200</f>
        <v>0.82558139534883723</v>
      </c>
      <c r="R202" s="2306"/>
      <c r="S202" s="667" t="s">
        <v>858</v>
      </c>
      <c r="T202" s="499" t="s">
        <v>859</v>
      </c>
      <c r="U202" s="470"/>
      <c r="V202" s="2363"/>
      <c r="W202" s="40" t="s">
        <v>0</v>
      </c>
      <c r="X202" s="40" t="s">
        <v>1151</v>
      </c>
      <c r="Y202" s="683">
        <f>((5*$R$200)+$R$201+$T$207+$R$204+$R$207+$R$209)*(1+$T$209)</f>
        <v>730.87646511627906</v>
      </c>
      <c r="Z202" s="683">
        <f t="shared" ref="Z202" si="14">Y202</f>
        <v>730.87646511627906</v>
      </c>
      <c r="AA202" s="912">
        <f>71.27/$H$200*Z202</f>
        <v>64.48244719530237</v>
      </c>
      <c r="AB202" s="473"/>
      <c r="AC202" s="913"/>
      <c r="AD202" s="741" t="s">
        <v>874</v>
      </c>
      <c r="AE202" s="709">
        <f>STDEV(AN200:AN203)</f>
        <v>0.11536201270089583</v>
      </c>
      <c r="AF202" s="724" t="s">
        <v>0</v>
      </c>
      <c r="AG202" s="40" t="s">
        <v>1152</v>
      </c>
      <c r="AH202" s="681">
        <f>Y203</f>
        <v>1018.696465116279</v>
      </c>
      <c r="AI202" s="660">
        <v>916.58</v>
      </c>
      <c r="AJ202" s="660">
        <v>1129.07</v>
      </c>
      <c r="AK202" s="660">
        <v>1027.82</v>
      </c>
      <c r="AL202" s="661">
        <v>917.4</v>
      </c>
      <c r="AM202" s="662">
        <f>AH202-AVERAGE(AI202:AL202)</f>
        <v>20.978965116278914</v>
      </c>
      <c r="AN202" s="759">
        <f>AM202/AVERAGE(AI202:AL202)</f>
        <v>2.1026959150540019E-2</v>
      </c>
      <c r="AO202" s="477"/>
      <c r="AP202" s="477"/>
      <c r="AQ202" s="477"/>
      <c r="AR202" s="477"/>
      <c r="AS202" s="477"/>
      <c r="AT202" s="477"/>
      <c r="AU202" s="477"/>
      <c r="AV202" s="477"/>
      <c r="AW202" s="477"/>
      <c r="AX202" s="477"/>
      <c r="AY202" s="477"/>
      <c r="AZ202" s="477"/>
      <c r="BA202" s="477"/>
      <c r="BB202" s="477"/>
      <c r="BC202" s="477"/>
      <c r="BD202" s="477"/>
      <c r="BE202" s="477"/>
      <c r="BF202" s="477"/>
      <c r="BG202" s="477"/>
    </row>
    <row r="203" spans="1:123" ht="15" customHeight="1">
      <c r="A203" s="2373"/>
      <c r="B203" s="2335" t="s">
        <v>1139</v>
      </c>
      <c r="C203" s="2370" t="s">
        <v>839</v>
      </c>
      <c r="D203" s="478" t="s">
        <v>840</v>
      </c>
      <c r="E203" s="178">
        <v>1</v>
      </c>
      <c r="F203" s="697" t="s">
        <v>35</v>
      </c>
      <c r="G203" s="697" t="s">
        <v>35</v>
      </c>
      <c r="H203" s="698">
        <v>1313</v>
      </c>
      <c r="I203" s="699">
        <v>0</v>
      </c>
      <c r="J203" s="910" t="s">
        <v>35</v>
      </c>
      <c r="K203" s="479" t="s">
        <v>35</v>
      </c>
      <c r="L203" s="910" t="s">
        <v>35</v>
      </c>
      <c r="M203" s="697" t="s">
        <v>35</v>
      </c>
      <c r="N203" s="680">
        <v>283.54000000000002</v>
      </c>
      <c r="O203" s="674">
        <v>2.8</v>
      </c>
      <c r="P203" s="674">
        <v>101.35</v>
      </c>
      <c r="Q203" s="530" t="s">
        <v>35</v>
      </c>
      <c r="R203" s="911">
        <f>N203</f>
        <v>283.54000000000002</v>
      </c>
      <c r="S203" s="749" t="s">
        <v>310</v>
      </c>
      <c r="T203" s="749" t="s">
        <v>1019</v>
      </c>
      <c r="U203" s="591"/>
      <c r="V203" s="2363"/>
      <c r="W203" s="40" t="s">
        <v>0</v>
      </c>
      <c r="X203" s="40" t="s">
        <v>1153</v>
      </c>
      <c r="Y203" s="683">
        <f>((10*$R$200)+$R$201+$T$207+$R$204+$R$207+$R$209)*(1+$T$209)</f>
        <v>1018.696465116279</v>
      </c>
      <c r="Z203" s="683">
        <f>Y203</f>
        <v>1018.696465116279</v>
      </c>
      <c r="AA203" s="912">
        <f>71.27/$H$200*Z203</f>
        <v>89.875709719905913</v>
      </c>
      <c r="AB203" s="473"/>
      <c r="AC203" s="913"/>
      <c r="AD203" s="741" t="s">
        <v>977</v>
      </c>
      <c r="AE203" s="914">
        <f>MIN(AN200:AN203)</f>
        <v>2.1026959150540019E-2</v>
      </c>
      <c r="AF203" s="756" t="s">
        <v>0</v>
      </c>
      <c r="AG203" s="707" t="s">
        <v>1154</v>
      </c>
      <c r="AH203" s="936">
        <f>Y204</f>
        <v>2243.116465116279</v>
      </c>
      <c r="AI203" s="916">
        <v>1929.9</v>
      </c>
      <c r="AJ203" s="916">
        <v>2377.29</v>
      </c>
      <c r="AK203" s="916">
        <v>2164.12</v>
      </c>
      <c r="AL203" s="917">
        <v>1931</v>
      </c>
      <c r="AM203" s="662">
        <f>AH203-AVERAGE(AI203:AL203)</f>
        <v>142.53896511627863</v>
      </c>
      <c r="AN203" s="759">
        <f>AM203/AVERAGE(AI203:AL203)</f>
        <v>6.7857036989246347E-2</v>
      </c>
      <c r="AO203" s="477"/>
      <c r="AP203" s="477"/>
      <c r="AQ203" s="477"/>
      <c r="AR203" s="477"/>
      <c r="AS203" s="477"/>
      <c r="AT203" s="477"/>
      <c r="AU203" s="477"/>
      <c r="AV203" s="477"/>
      <c r="AW203" s="477"/>
      <c r="AX203" s="477"/>
      <c r="AY203" s="477"/>
      <c r="AZ203" s="477"/>
      <c r="BA203" s="477"/>
      <c r="BB203" s="477"/>
      <c r="BC203" s="477"/>
      <c r="BD203" s="477"/>
      <c r="BE203" s="477"/>
      <c r="BF203" s="477"/>
      <c r="BG203" s="477"/>
    </row>
    <row r="204" spans="1:123" s="433" customFormat="1" ht="15" customHeight="1">
      <c r="A204" s="2373"/>
      <c r="B204" s="2298"/>
      <c r="C204" s="2376"/>
      <c r="D204" s="478" t="s">
        <v>64</v>
      </c>
      <c r="E204" s="178">
        <v>85</v>
      </c>
      <c r="F204" s="697" t="s">
        <v>35</v>
      </c>
      <c r="G204" s="697" t="s">
        <v>35</v>
      </c>
      <c r="H204" s="698">
        <v>801.87</v>
      </c>
      <c r="I204" s="699">
        <v>489.24</v>
      </c>
      <c r="J204" s="910" t="s">
        <v>35</v>
      </c>
      <c r="K204" s="697" t="s">
        <v>35</v>
      </c>
      <c r="L204" s="910" t="s">
        <v>35</v>
      </c>
      <c r="M204" s="697" t="s">
        <v>35</v>
      </c>
      <c r="N204" s="482">
        <v>0</v>
      </c>
      <c r="O204" s="483" t="s">
        <v>847</v>
      </c>
      <c r="P204" s="484" t="s">
        <v>847</v>
      </c>
      <c r="Q204" s="530" t="s">
        <v>35</v>
      </c>
      <c r="R204" s="911">
        <f t="shared" ref="R204:R209" si="15">N204</f>
        <v>0</v>
      </c>
      <c r="S204" s="667" t="s">
        <v>868</v>
      </c>
      <c r="T204" s="637" t="s">
        <v>869</v>
      </c>
      <c r="U204" s="560"/>
      <c r="V204" s="2364"/>
      <c r="W204" s="707" t="s">
        <v>0</v>
      </c>
      <c r="X204" s="707" t="s">
        <v>1155</v>
      </c>
      <c r="Y204" s="937">
        <f>((10*$R$200)+$R$201+$T$207+$R$204+$R$205+$R$209)*(1+$T$209)</f>
        <v>2243.116465116279</v>
      </c>
      <c r="Z204" s="937">
        <f>Y204</f>
        <v>2243.116465116279</v>
      </c>
      <c r="AA204" s="938">
        <f>71.27/$H$200*Z204</f>
        <v>197.90162348675702</v>
      </c>
      <c r="AB204" s="473"/>
      <c r="AC204" s="913"/>
      <c r="AD204" s="754" t="s">
        <v>978</v>
      </c>
      <c r="AE204" s="915">
        <f>MAX(AN200:AN203)</f>
        <v>0.28518986101939575</v>
      </c>
      <c r="AF204" s="939"/>
      <c r="AG204" s="940"/>
      <c r="AH204" s="941"/>
      <c r="AI204" s="941"/>
      <c r="AJ204" s="941"/>
      <c r="AK204" s="941"/>
      <c r="AL204" s="941"/>
      <c r="AM204" s="942"/>
      <c r="AN204" s="942"/>
      <c r="AO204" s="942"/>
      <c r="AP204" s="477"/>
      <c r="AQ204" s="477"/>
      <c r="AR204" s="477"/>
      <c r="AS204" s="477"/>
      <c r="AT204" s="477"/>
      <c r="AU204" s="477"/>
      <c r="AV204" s="477"/>
      <c r="AW204" s="477"/>
      <c r="AX204" s="477"/>
      <c r="AY204" s="477"/>
      <c r="AZ204" s="477"/>
      <c r="BA204" s="477"/>
      <c r="BB204" s="477"/>
      <c r="BC204" s="477"/>
      <c r="BD204" s="477"/>
      <c r="BE204" s="477"/>
      <c r="BF204" s="477"/>
      <c r="BG204" s="477"/>
      <c r="BH204" s="432"/>
      <c r="BI204" s="95"/>
      <c r="BJ204" s="95"/>
      <c r="BK204" s="95"/>
      <c r="BL204" s="95"/>
      <c r="BM204" s="95"/>
      <c r="BN204" s="95"/>
      <c r="BO204" s="95"/>
      <c r="BP204" s="95"/>
      <c r="BQ204" s="95"/>
      <c r="BR204" s="95"/>
      <c r="BS204" s="95"/>
      <c r="BT204" s="95"/>
      <c r="BU204" s="95"/>
      <c r="BV204" s="95"/>
      <c r="BW204" s="95"/>
      <c r="BX204" s="95"/>
      <c r="BY204" s="95"/>
      <c r="BZ204" s="95"/>
      <c r="CA204" s="95"/>
      <c r="CB204" s="95"/>
      <c r="CC204" s="95"/>
      <c r="CD204" s="95"/>
      <c r="CE204" s="95"/>
      <c r="DI204" s="435"/>
    </row>
    <row r="205" spans="1:123" s="433" customFormat="1" ht="15" customHeight="1">
      <c r="A205" s="2373"/>
      <c r="B205" s="2348" t="s">
        <v>1142</v>
      </c>
      <c r="C205" s="2370" t="s">
        <v>862</v>
      </c>
      <c r="D205" s="704" t="s">
        <v>1143</v>
      </c>
      <c r="E205" s="665">
        <v>16</v>
      </c>
      <c r="F205" s="697" t="s">
        <v>35</v>
      </c>
      <c r="G205" s="697" t="s">
        <v>35</v>
      </c>
      <c r="H205" s="698">
        <v>1695.05</v>
      </c>
      <c r="I205" s="699">
        <v>378.1</v>
      </c>
      <c r="J205" s="834" t="s">
        <v>35</v>
      </c>
      <c r="K205" s="479" t="s">
        <v>35</v>
      </c>
      <c r="L205" s="910" t="s">
        <v>35</v>
      </c>
      <c r="M205" s="697" t="s">
        <v>35</v>
      </c>
      <c r="N205" s="482">
        <v>1020.35</v>
      </c>
      <c r="O205" s="497">
        <v>34.53</v>
      </c>
      <c r="P205" s="497">
        <v>29.55</v>
      </c>
      <c r="Q205" s="530" t="s">
        <v>35</v>
      </c>
      <c r="R205" s="911">
        <f t="shared" si="15"/>
        <v>1020.35</v>
      </c>
      <c r="S205" s="487">
        <v>86</v>
      </c>
      <c r="T205" s="749" t="s">
        <v>35</v>
      </c>
      <c r="U205" s="591"/>
      <c r="V205" s="943"/>
      <c r="W205" s="940"/>
      <c r="X205" s="940"/>
      <c r="Y205" s="940"/>
      <c r="Z205" s="940"/>
      <c r="AA205" s="944"/>
      <c r="AB205" s="473"/>
      <c r="AC205" s="913"/>
      <c r="AD205" s="521"/>
      <c r="AE205" s="521"/>
      <c r="AF205" s="945"/>
      <c r="AG205" s="946"/>
      <c r="AH205" s="942"/>
      <c r="AI205" s="942"/>
      <c r="AJ205" s="942"/>
      <c r="AK205" s="942"/>
      <c r="AL205" s="942"/>
      <c r="AM205" s="942"/>
      <c r="AN205" s="947"/>
      <c r="AO205" s="942"/>
      <c r="AP205" s="477"/>
      <c r="AQ205" s="477"/>
      <c r="AR205" s="477"/>
      <c r="AS205" s="477"/>
      <c r="AT205" s="477"/>
      <c r="AU205" s="477"/>
      <c r="AV205" s="477"/>
      <c r="AW205" s="477"/>
      <c r="AX205" s="477"/>
      <c r="AY205" s="477"/>
      <c r="AZ205" s="477"/>
      <c r="BA205" s="477"/>
      <c r="BB205" s="477"/>
      <c r="BC205" s="477"/>
      <c r="BD205" s="477"/>
      <c r="BE205" s="477"/>
      <c r="BF205" s="477"/>
      <c r="BG205" s="477"/>
      <c r="BH205" s="432"/>
      <c r="BI205" s="95"/>
      <c r="BJ205" s="95"/>
      <c r="BK205" s="95"/>
      <c r="BL205" s="95"/>
      <c r="BM205" s="95"/>
      <c r="BN205" s="95"/>
      <c r="BO205" s="95"/>
      <c r="BP205" s="95"/>
      <c r="BQ205" s="95"/>
      <c r="BR205" s="95"/>
      <c r="BS205" s="95"/>
      <c r="BT205" s="95"/>
      <c r="BU205" s="95"/>
      <c r="BV205" s="95"/>
      <c r="BW205" s="95"/>
      <c r="BX205" s="95"/>
      <c r="BY205" s="95"/>
      <c r="BZ205" s="95"/>
      <c r="CA205" s="95"/>
      <c r="CB205" s="95"/>
      <c r="CC205" s="95"/>
      <c r="CD205" s="95"/>
      <c r="CE205" s="95"/>
      <c r="DI205" s="435"/>
    </row>
    <row r="206" spans="1:123" s="433" customFormat="1" ht="15" customHeight="1">
      <c r="A206" s="2373"/>
      <c r="B206" s="2349"/>
      <c r="C206" s="2377"/>
      <c r="D206" s="500">
        <v>12</v>
      </c>
      <c r="E206" s="665">
        <v>14</v>
      </c>
      <c r="F206" s="697" t="s">
        <v>35</v>
      </c>
      <c r="G206" s="697" t="s">
        <v>35</v>
      </c>
      <c r="H206" s="698">
        <v>782.42</v>
      </c>
      <c r="I206" s="699">
        <v>164.42</v>
      </c>
      <c r="J206" s="834" t="s">
        <v>35</v>
      </c>
      <c r="K206" s="479" t="s">
        <v>35</v>
      </c>
      <c r="L206" s="910" t="s">
        <v>35</v>
      </c>
      <c r="M206" s="697" t="s">
        <v>35</v>
      </c>
      <c r="N206" s="482">
        <v>248.59</v>
      </c>
      <c r="O206" s="497">
        <v>8.44</v>
      </c>
      <c r="P206" s="497">
        <v>29.45</v>
      </c>
      <c r="Q206" s="530" t="s">
        <v>35</v>
      </c>
      <c r="R206" s="911">
        <f t="shared" si="15"/>
        <v>248.59</v>
      </c>
      <c r="S206" s="667" t="s">
        <v>876</v>
      </c>
      <c r="T206" s="637" t="s">
        <v>877</v>
      </c>
      <c r="U206" s="560"/>
      <c r="V206" s="948"/>
      <c r="W206" s="476"/>
      <c r="X206" s="476"/>
      <c r="Y206" s="949"/>
      <c r="Z206" s="949"/>
      <c r="AA206" s="933"/>
      <c r="AB206" s="907"/>
      <c r="AC206" s="913"/>
      <c r="AD206" s="525"/>
      <c r="AE206" s="525"/>
      <c r="AF206" s="475"/>
      <c r="AG206" s="476"/>
      <c r="AH206" s="477"/>
      <c r="AI206" s="477"/>
      <c r="AJ206" s="477"/>
      <c r="AK206" s="477"/>
      <c r="AL206" s="477"/>
      <c r="AM206" s="477"/>
      <c r="AN206" s="477"/>
      <c r="AO206" s="477"/>
      <c r="AP206" s="477"/>
      <c r="AQ206" s="477"/>
      <c r="AR206" s="477"/>
      <c r="AS206" s="477"/>
      <c r="AT206" s="477"/>
      <c r="AU206" s="477"/>
      <c r="AV206" s="477"/>
      <c r="AW206" s="477"/>
      <c r="AX206" s="477"/>
      <c r="AY206" s="477"/>
      <c r="AZ206" s="477"/>
      <c r="BA206" s="477"/>
      <c r="BB206" s="477"/>
      <c r="BC206" s="477"/>
      <c r="BD206" s="477"/>
      <c r="BE206" s="477"/>
      <c r="BF206" s="477"/>
      <c r="BG206" s="477"/>
      <c r="BH206" s="432"/>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DI206" s="435"/>
    </row>
    <row r="207" spans="1:123" s="433" customFormat="1" ht="15" customHeight="1">
      <c r="A207" s="2373"/>
      <c r="B207" s="2350"/>
      <c r="C207" s="2376"/>
      <c r="D207" s="950">
        <v>1</v>
      </c>
      <c r="E207" s="714">
        <v>56</v>
      </c>
      <c r="F207" s="951" t="s">
        <v>35</v>
      </c>
      <c r="G207" s="951" t="s">
        <v>35</v>
      </c>
      <c r="H207" s="952">
        <v>560.66999999999996</v>
      </c>
      <c r="I207" s="952">
        <v>183.09</v>
      </c>
      <c r="J207" s="953" t="s">
        <v>35</v>
      </c>
      <c r="K207" s="532" t="s">
        <v>35</v>
      </c>
      <c r="L207" s="920" t="s">
        <v>35</v>
      </c>
      <c r="M207" s="951" t="s">
        <v>35</v>
      </c>
      <c r="N207" s="680">
        <v>0</v>
      </c>
      <c r="O207" s="483" t="s">
        <v>847</v>
      </c>
      <c r="P207" s="484" t="s">
        <v>847</v>
      </c>
      <c r="Q207" s="537" t="s">
        <v>35</v>
      </c>
      <c r="R207" s="911">
        <f t="shared" si="15"/>
        <v>0</v>
      </c>
      <c r="S207" s="509">
        <v>0.96409999999999996</v>
      </c>
      <c r="T207" s="705">
        <v>291.13</v>
      </c>
      <c r="U207" s="706"/>
      <c r="V207" s="948"/>
      <c r="W207" s="476"/>
      <c r="X207" s="476"/>
      <c r="Y207" s="949"/>
      <c r="Z207" s="949"/>
      <c r="AA207" s="933"/>
      <c r="AB207" s="907"/>
      <c r="AC207" s="913"/>
      <c r="AD207" s="525"/>
      <c r="AE207" s="525"/>
      <c r="AF207" s="475"/>
      <c r="AG207" s="476"/>
      <c r="AH207" s="477"/>
      <c r="AI207" s="477"/>
      <c r="AJ207" s="477"/>
      <c r="AK207" s="477"/>
      <c r="AL207" s="477"/>
      <c r="AM207" s="477"/>
      <c r="AN207" s="477"/>
      <c r="AO207" s="477"/>
      <c r="AP207" s="477"/>
      <c r="AQ207" s="477"/>
      <c r="AR207" s="477"/>
      <c r="AS207" s="477"/>
      <c r="AT207" s="477"/>
      <c r="AU207" s="477"/>
      <c r="AV207" s="477"/>
      <c r="AW207" s="477"/>
      <c r="AX207" s="477"/>
      <c r="AY207" s="477"/>
      <c r="AZ207" s="477"/>
      <c r="BA207" s="477"/>
      <c r="BB207" s="477"/>
      <c r="BC207" s="477"/>
      <c r="BD207" s="477"/>
      <c r="BE207" s="477"/>
      <c r="BF207" s="477"/>
      <c r="BG207" s="477"/>
      <c r="BH207" s="432"/>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DI207" s="435"/>
    </row>
    <row r="208" spans="1:123" s="433" customFormat="1" ht="15" customHeight="1">
      <c r="A208" s="2373"/>
      <c r="B208" s="2335" t="s">
        <v>1156</v>
      </c>
      <c r="C208" s="2370" t="s">
        <v>839</v>
      </c>
      <c r="D208" s="487" t="s">
        <v>840</v>
      </c>
      <c r="E208" s="954">
        <v>23</v>
      </c>
      <c r="F208" s="501" t="s">
        <v>35</v>
      </c>
      <c r="G208" s="501" t="s">
        <v>35</v>
      </c>
      <c r="H208" s="716">
        <v>653.11</v>
      </c>
      <c r="I208" s="955">
        <v>171.77</v>
      </c>
      <c r="J208" s="834" t="s">
        <v>35</v>
      </c>
      <c r="K208" s="479" t="s">
        <v>35</v>
      </c>
      <c r="L208" s="910" t="s">
        <v>35</v>
      </c>
      <c r="M208" s="697" t="s">
        <v>35</v>
      </c>
      <c r="N208" s="482">
        <v>114.46</v>
      </c>
      <c r="O208" s="901">
        <v>4.5199999999999996</v>
      </c>
      <c r="P208" s="901">
        <v>25.31</v>
      </c>
      <c r="Q208" s="530" t="s">
        <v>35</v>
      </c>
      <c r="R208" s="911">
        <f t="shared" si="15"/>
        <v>114.46</v>
      </c>
      <c r="S208" s="667" t="s">
        <v>883</v>
      </c>
      <c r="T208" s="499" t="s">
        <v>884</v>
      </c>
      <c r="U208" s="470"/>
      <c r="V208" s="524"/>
      <c r="W208" s="525"/>
      <c r="X208" s="525"/>
      <c r="Y208" s="515"/>
      <c r="Z208" s="515"/>
      <c r="AA208" s="515"/>
      <c r="AB208" s="454"/>
      <c r="AC208" s="740"/>
      <c r="AD208" s="525"/>
      <c r="AE208" s="525"/>
      <c r="AF208" s="757"/>
      <c r="AG208" s="525"/>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32"/>
      <c r="BI208" s="95"/>
      <c r="BJ208" s="95"/>
      <c r="BK208" s="95"/>
      <c r="BL208" s="95"/>
      <c r="BM208" s="95"/>
      <c r="BN208" s="95"/>
      <c r="BO208" s="95"/>
      <c r="BP208" s="95"/>
      <c r="BQ208" s="95"/>
      <c r="BR208" s="95"/>
      <c r="BS208" s="95"/>
      <c r="BT208" s="95"/>
      <c r="BU208" s="95"/>
      <c r="BV208" s="95"/>
      <c r="BW208" s="95"/>
      <c r="BX208" s="95"/>
      <c r="BY208" s="95"/>
      <c r="BZ208" s="95"/>
      <c r="CA208" s="95"/>
      <c r="CB208" s="95"/>
      <c r="CC208" s="95"/>
      <c r="CD208" s="95"/>
      <c r="CE208" s="95"/>
      <c r="DI208" s="435"/>
    </row>
    <row r="209" spans="1:123" s="433" customFormat="1" ht="15.75" customHeight="1" thickBot="1">
      <c r="A209" s="2374"/>
      <c r="B209" s="2369"/>
      <c r="C209" s="2371"/>
      <c r="D209" s="92" t="s">
        <v>64</v>
      </c>
      <c r="E209" s="954">
        <v>63</v>
      </c>
      <c r="F209" s="501" t="s">
        <v>35</v>
      </c>
      <c r="G209" s="501" t="s">
        <v>35</v>
      </c>
      <c r="H209" s="716">
        <v>864.29</v>
      </c>
      <c r="I209" s="955">
        <v>553.04999999999995</v>
      </c>
      <c r="J209" s="953" t="s">
        <v>35</v>
      </c>
      <c r="K209" s="532" t="s">
        <v>35</v>
      </c>
      <c r="L209" s="920" t="s">
        <v>35</v>
      </c>
      <c r="M209" s="951" t="s">
        <v>35</v>
      </c>
      <c r="N209" s="482">
        <v>0</v>
      </c>
      <c r="O209" s="483" t="s">
        <v>847</v>
      </c>
      <c r="P209" s="484" t="s">
        <v>847</v>
      </c>
      <c r="Q209" s="537" t="s">
        <v>35</v>
      </c>
      <c r="R209" s="911">
        <f t="shared" si="15"/>
        <v>0</v>
      </c>
      <c r="S209" s="930">
        <v>71.27</v>
      </c>
      <c r="T209" s="956">
        <v>0.2</v>
      </c>
      <c r="U209" s="603"/>
      <c r="V209" s="957"/>
      <c r="W209" s="958"/>
      <c r="X209" s="958"/>
      <c r="Y209" s="711"/>
      <c r="Z209" s="711"/>
      <c r="AA209" s="711"/>
      <c r="AB209" s="454"/>
      <c r="AC209" s="959"/>
      <c r="AD209" s="958"/>
      <c r="AE209" s="958"/>
      <c r="AF209" s="960"/>
      <c r="AG209" s="958"/>
      <c r="AH209" s="961"/>
      <c r="AI209" s="961"/>
      <c r="AJ209" s="961"/>
      <c r="AK209" s="961"/>
      <c r="AL209" s="961"/>
      <c r="AM209" s="961"/>
      <c r="AN209" s="961"/>
      <c r="AO209" s="961"/>
      <c r="AP209" s="961"/>
      <c r="AQ209" s="961"/>
      <c r="AR209" s="961"/>
      <c r="AS209" s="961"/>
      <c r="AT209" s="961"/>
      <c r="AU209" s="961"/>
      <c r="AV209" s="961"/>
      <c r="AW209" s="961"/>
      <c r="AX209" s="961"/>
      <c r="AY209" s="961"/>
      <c r="AZ209" s="961"/>
      <c r="BA209" s="961"/>
      <c r="BB209" s="961"/>
      <c r="BC209" s="961"/>
      <c r="BD209" s="961"/>
      <c r="BE209" s="961"/>
      <c r="BF209" s="961"/>
      <c r="BG209" s="961"/>
      <c r="BH209" s="432"/>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DI209" s="435"/>
    </row>
    <row r="210" spans="1:123" s="626" customFormat="1" ht="8.25" customHeight="1" thickBot="1">
      <c r="A210" s="540"/>
      <c r="B210" s="541"/>
      <c r="C210" s="444"/>
      <c r="D210" s="445"/>
      <c r="E210" s="445"/>
      <c r="F210" s="445"/>
      <c r="G210" s="445"/>
      <c r="H210" s="445"/>
      <c r="I210" s="445"/>
      <c r="J210" s="446"/>
      <c r="K210" s="445"/>
      <c r="L210" s="446"/>
      <c r="M210" s="447"/>
      <c r="N210" s="448"/>
      <c r="O210" s="449"/>
      <c r="P210" s="449"/>
      <c r="Q210" s="450"/>
      <c r="R210" s="450"/>
      <c r="S210" s="451"/>
      <c r="T210" s="451"/>
      <c r="U210" s="452"/>
      <c r="V210" s="453"/>
      <c r="W210" s="447"/>
      <c r="X210" s="447"/>
      <c r="Y210" s="451"/>
      <c r="Z210" s="451"/>
      <c r="AA210" s="451"/>
      <c r="AB210" s="454"/>
      <c r="AC210" s="447"/>
      <c r="AD210" s="447"/>
      <c r="AE210" s="447"/>
      <c r="AF210" s="455"/>
      <c r="AG210" s="447"/>
      <c r="AH210" s="456"/>
      <c r="AI210" s="653"/>
      <c r="AJ210" s="653"/>
      <c r="AK210" s="653"/>
      <c r="AL210" s="653"/>
      <c r="AM210" s="456"/>
      <c r="AN210" s="456"/>
      <c r="AO210" s="456"/>
      <c r="AP210" s="456"/>
      <c r="AQ210" s="456"/>
      <c r="AR210" s="456"/>
      <c r="AS210" s="456"/>
      <c r="AT210" s="456"/>
      <c r="AU210" s="456"/>
      <c r="AV210" s="456"/>
      <c r="AW210" s="456"/>
      <c r="AX210" s="456"/>
      <c r="AY210" s="456"/>
      <c r="AZ210" s="456"/>
      <c r="BA210" s="456"/>
      <c r="BB210" s="456"/>
      <c r="BC210" s="456"/>
      <c r="BD210" s="456"/>
      <c r="BE210" s="456"/>
      <c r="BF210" s="456"/>
      <c r="BG210" s="456"/>
      <c r="BH210" s="432"/>
      <c r="CF210" s="542"/>
      <c r="CG210" s="542"/>
      <c r="CH210" s="542"/>
      <c r="CI210" s="542"/>
      <c r="CJ210" s="542"/>
      <c r="CK210" s="542"/>
      <c r="CL210" s="542"/>
      <c r="CM210" s="542"/>
      <c r="CN210" s="542"/>
      <c r="CO210" s="542"/>
      <c r="CP210" s="542"/>
      <c r="CQ210" s="542"/>
      <c r="CR210" s="542"/>
      <c r="CS210" s="542"/>
      <c r="CT210" s="542"/>
      <c r="CU210" s="542"/>
      <c r="CV210" s="542"/>
      <c r="CW210" s="542"/>
      <c r="CX210" s="542"/>
      <c r="CY210" s="542"/>
      <c r="CZ210" s="542"/>
      <c r="DA210" s="542"/>
      <c r="DB210" s="542"/>
      <c r="DC210" s="542"/>
      <c r="DD210" s="542"/>
      <c r="DE210" s="542"/>
      <c r="DF210" s="542"/>
      <c r="DG210" s="542"/>
      <c r="DH210" s="542"/>
      <c r="DI210" s="543"/>
      <c r="DJ210" s="542"/>
      <c r="DK210" s="542"/>
      <c r="DL210" s="542"/>
      <c r="DM210" s="542"/>
      <c r="DN210" s="542"/>
      <c r="DO210" s="542"/>
      <c r="DP210" s="542"/>
      <c r="DQ210" s="542"/>
      <c r="DR210" s="542"/>
      <c r="DS210" s="542"/>
    </row>
    <row r="211" spans="1:123" ht="15" customHeight="1">
      <c r="A211" s="2360" t="s">
        <v>544</v>
      </c>
      <c r="B211" s="627" t="s">
        <v>204</v>
      </c>
      <c r="C211" s="654" t="s">
        <v>853</v>
      </c>
      <c r="D211" s="564" t="s">
        <v>1161</v>
      </c>
      <c r="E211" s="714">
        <v>41</v>
      </c>
      <c r="F211" s="971">
        <v>13.62439</v>
      </c>
      <c r="G211" s="971">
        <v>1.2101200000000001</v>
      </c>
      <c r="H211" s="716">
        <v>2464.8000000000002</v>
      </c>
      <c r="I211" s="717">
        <v>756.06</v>
      </c>
      <c r="J211" s="989" t="s">
        <v>853</v>
      </c>
      <c r="K211" s="990" t="s">
        <v>1162</v>
      </c>
      <c r="L211" s="991" t="s">
        <v>35</v>
      </c>
      <c r="M211" s="719" t="s">
        <v>35</v>
      </c>
      <c r="N211" s="575">
        <v>289.41374999999999</v>
      </c>
      <c r="O211" s="594">
        <v>6.08</v>
      </c>
      <c r="P211" s="594">
        <v>47.636894400000003</v>
      </c>
      <c r="Q211" s="577" t="s">
        <v>35</v>
      </c>
      <c r="R211" s="486">
        <f>N211</f>
        <v>289.41374999999999</v>
      </c>
      <c r="S211" s="667" t="s">
        <v>841</v>
      </c>
      <c r="T211" s="637" t="s">
        <v>842</v>
      </c>
      <c r="U211" s="560"/>
      <c r="V211" s="2362" t="s">
        <v>843</v>
      </c>
      <c r="W211" s="677" t="s">
        <v>175</v>
      </c>
      <c r="X211" s="677" t="s">
        <v>1163</v>
      </c>
      <c r="Y211" s="992">
        <f>(($R$211*13)+($R$212*24000)+$R$213+$R$215+$R$217+$T$218)*(1+$T$220)</f>
        <v>2650.324579813539</v>
      </c>
      <c r="Z211" s="2365">
        <f>Y212-Y211</f>
        <v>361.76718749999964</v>
      </c>
      <c r="AA211" s="2367">
        <f>(14-13)*$P$211</f>
        <v>47.636894400000003</v>
      </c>
      <c r="AB211" s="907"/>
      <c r="AC211" s="525"/>
      <c r="AD211" s="975"/>
      <c r="AE211" s="976"/>
      <c r="AF211" s="631" t="s">
        <v>175</v>
      </c>
      <c r="AG211" s="677" t="s">
        <v>1163</v>
      </c>
      <c r="AH211" s="727">
        <f>Y211</f>
        <v>2650.324579813539</v>
      </c>
      <c r="AI211" s="660">
        <v>1744</v>
      </c>
      <c r="AJ211" s="660">
        <f>AVERAGE(950.1,980.7)*2</f>
        <v>1930.8000000000002</v>
      </c>
      <c r="AK211" s="660">
        <v>1464</v>
      </c>
      <c r="AL211" s="660">
        <f>790.4*2</f>
        <v>1580.8</v>
      </c>
      <c r="AM211" s="477"/>
      <c r="AN211" s="477"/>
      <c r="AO211" s="477"/>
      <c r="AP211" s="477"/>
      <c r="AQ211" s="477"/>
      <c r="AR211" s="477"/>
      <c r="AS211" s="477"/>
      <c r="AT211" s="477"/>
      <c r="AU211" s="477"/>
      <c r="AV211" s="477"/>
      <c r="AW211" s="477"/>
      <c r="AX211" s="477"/>
      <c r="AY211" s="477"/>
      <c r="AZ211" s="477"/>
      <c r="BA211" s="477"/>
      <c r="BB211" s="477"/>
      <c r="BC211" s="477"/>
      <c r="BD211" s="477"/>
      <c r="BE211" s="477"/>
      <c r="BF211" s="477"/>
      <c r="BG211" s="477"/>
    </row>
    <row r="212" spans="1:123">
      <c r="A212" s="2337"/>
      <c r="B212" s="566" t="s">
        <v>543</v>
      </c>
      <c r="C212" s="567" t="s">
        <v>853</v>
      </c>
      <c r="D212" s="564" t="s">
        <v>1164</v>
      </c>
      <c r="E212" s="714">
        <v>41</v>
      </c>
      <c r="F212" s="993">
        <v>48378.05</v>
      </c>
      <c r="G212" s="993">
        <v>10868.98</v>
      </c>
      <c r="H212" s="716">
        <v>2464.8000000000002</v>
      </c>
      <c r="I212" s="717">
        <v>756.06</v>
      </c>
      <c r="J212" s="810" t="s">
        <v>855</v>
      </c>
      <c r="K212" s="994" t="s">
        <v>1165</v>
      </c>
      <c r="L212" s="718" t="s">
        <v>35</v>
      </c>
      <c r="M212" s="719" t="s">
        <v>35</v>
      </c>
      <c r="N212" s="575">
        <v>2.5870000000000001E-2</v>
      </c>
      <c r="O212" s="594">
        <v>6.43</v>
      </c>
      <c r="P212" s="594">
        <v>4.0217999999999999E-3</v>
      </c>
      <c r="Q212" s="577" t="s">
        <v>35</v>
      </c>
      <c r="R212" s="486">
        <f>N212</f>
        <v>2.5870000000000001E-2</v>
      </c>
      <c r="S212" s="178" t="s">
        <v>1135</v>
      </c>
      <c r="T212" s="500" t="s">
        <v>1065</v>
      </c>
      <c r="U212" s="591"/>
      <c r="V212" s="2363"/>
      <c r="W212" s="92" t="s">
        <v>174</v>
      </c>
      <c r="X212" s="92" t="s">
        <v>1166</v>
      </c>
      <c r="Y212" s="992">
        <f>(($R$211*14)+($R$212*24000)+$R$213+$R$215+$R$217+$T$218)*(1+$T$220)</f>
        <v>3012.0917673135386</v>
      </c>
      <c r="Z212" s="2366"/>
      <c r="AA212" s="2368"/>
      <c r="AB212" s="907"/>
      <c r="AC212" s="525"/>
      <c r="AD212" s="524"/>
      <c r="AE212" s="525"/>
      <c r="AF212" s="573" t="s">
        <v>174</v>
      </c>
      <c r="AG212" s="92" t="s">
        <v>1166</v>
      </c>
      <c r="AH212" s="727">
        <f>Y212</f>
        <v>3012.0917673135386</v>
      </c>
      <c r="AI212" s="660">
        <v>2271</v>
      </c>
      <c r="AJ212" s="660">
        <f>1063.2*2</f>
        <v>2126.4</v>
      </c>
      <c r="AK212" s="660"/>
      <c r="AL212" s="660">
        <f>817.86*2</f>
        <v>1635.72</v>
      </c>
      <c r="AM212" s="477"/>
      <c r="AN212" s="477"/>
      <c r="AO212" s="477"/>
      <c r="AP212" s="477"/>
      <c r="AQ212" s="477"/>
      <c r="AR212" s="477"/>
      <c r="AS212" s="477"/>
      <c r="AT212" s="477"/>
      <c r="AU212" s="477"/>
      <c r="AV212" s="477"/>
      <c r="AW212" s="477"/>
      <c r="AX212" s="477"/>
      <c r="AY212" s="477"/>
      <c r="AZ212" s="477"/>
      <c r="BA212" s="477"/>
      <c r="BB212" s="477"/>
      <c r="BC212" s="477"/>
      <c r="BD212" s="477"/>
      <c r="BE212" s="477"/>
      <c r="BF212" s="477"/>
      <c r="BG212" s="477"/>
    </row>
    <row r="213" spans="1:123">
      <c r="A213" s="2337"/>
      <c r="B213" s="2273" t="s">
        <v>1167</v>
      </c>
      <c r="C213" s="2274" t="s">
        <v>839</v>
      </c>
      <c r="D213" s="487">
        <v>1</v>
      </c>
      <c r="E213" s="714">
        <v>24</v>
      </c>
      <c r="F213" s="585" t="s">
        <v>35</v>
      </c>
      <c r="G213" s="585" t="s">
        <v>35</v>
      </c>
      <c r="H213" s="716">
        <v>2648.92</v>
      </c>
      <c r="I213" s="717">
        <v>762.03</v>
      </c>
      <c r="J213" s="718" t="s">
        <v>35</v>
      </c>
      <c r="K213" s="719" t="s">
        <v>35</v>
      </c>
      <c r="L213" s="718" t="s">
        <v>35</v>
      </c>
      <c r="M213" s="719" t="s">
        <v>35</v>
      </c>
      <c r="N213" s="575">
        <v>0</v>
      </c>
      <c r="O213" s="594" t="s">
        <v>847</v>
      </c>
      <c r="P213" s="594" t="s">
        <v>847</v>
      </c>
      <c r="Q213" s="486">
        <f>E213/SUM($E$213:$E$214)</f>
        <v>0.58536585365853655</v>
      </c>
      <c r="R213" s="2285">
        <f>SUMPRODUCT(Q213:Q214,N213:N214)</f>
        <v>16.284374219512195</v>
      </c>
      <c r="S213" s="667" t="s">
        <v>858</v>
      </c>
      <c r="T213" s="499" t="s">
        <v>859</v>
      </c>
      <c r="U213" s="470"/>
      <c r="V213" s="2363"/>
      <c r="W213" s="92" t="s">
        <v>175</v>
      </c>
      <c r="X213" s="92" t="s">
        <v>1168</v>
      </c>
      <c r="Y213" s="992">
        <f>(($R$211*13)+($R$212*60000)+$R$213+$R$215+$R$217+$T$218)*(1+$T$220)</f>
        <v>3814.4745798135386</v>
      </c>
      <c r="Z213" s="2366">
        <f>Y214-Y213</f>
        <v>361.767187500001</v>
      </c>
      <c r="AA213" s="2344">
        <f>(14-13)*$P$211</f>
        <v>47.636894400000003</v>
      </c>
      <c r="AB213" s="907"/>
      <c r="AC213" s="525"/>
      <c r="AD213" s="524"/>
      <c r="AE213" s="525"/>
      <c r="AF213" s="573" t="s">
        <v>175</v>
      </c>
      <c r="AG213" s="92" t="s">
        <v>1168</v>
      </c>
      <c r="AH213" s="727">
        <f>Y213</f>
        <v>3814.4745798135386</v>
      </c>
      <c r="AI213" s="660">
        <v>3321</v>
      </c>
      <c r="AJ213" s="660">
        <f>AVERAGE(950.1,980.7)*5</f>
        <v>4827</v>
      </c>
      <c r="AK213" s="660">
        <v>2484</v>
      </c>
      <c r="AL213" s="660">
        <f>790.4*5</f>
        <v>3952</v>
      </c>
      <c r="AM213" s="477"/>
      <c r="AN213" s="477"/>
      <c r="AO213" s="477"/>
      <c r="AP213" s="477"/>
      <c r="AQ213" s="477"/>
      <c r="AR213" s="477"/>
      <c r="AS213" s="477"/>
      <c r="AT213" s="477"/>
      <c r="AU213" s="477"/>
      <c r="AV213" s="477"/>
      <c r="AW213" s="477"/>
      <c r="AX213" s="477"/>
      <c r="AY213" s="477"/>
      <c r="AZ213" s="477"/>
      <c r="BA213" s="477"/>
      <c r="BB213" s="477"/>
      <c r="BC213" s="477"/>
      <c r="BD213" s="477"/>
      <c r="BE213" s="477"/>
      <c r="BF213" s="477"/>
      <c r="BG213" s="477"/>
    </row>
    <row r="214" spans="1:123">
      <c r="A214" s="2337"/>
      <c r="B214" s="2273"/>
      <c r="C214" s="2274"/>
      <c r="D214" s="487">
        <v>3</v>
      </c>
      <c r="E214" s="714">
        <v>17</v>
      </c>
      <c r="F214" s="585" t="s">
        <v>35</v>
      </c>
      <c r="G214" s="585" t="s">
        <v>35</v>
      </c>
      <c r="H214" s="716">
        <v>2204.88</v>
      </c>
      <c r="I214" s="717">
        <v>686.8</v>
      </c>
      <c r="J214" s="718" t="s">
        <v>35</v>
      </c>
      <c r="K214" s="719" t="s">
        <v>35</v>
      </c>
      <c r="L214" s="718" t="s">
        <v>35</v>
      </c>
      <c r="M214" s="719" t="s">
        <v>35</v>
      </c>
      <c r="N214" s="575">
        <v>39.274079</v>
      </c>
      <c r="O214" s="594">
        <v>0.31</v>
      </c>
      <c r="P214" s="594">
        <v>125.0227167</v>
      </c>
      <c r="Q214" s="486">
        <f>E214/SUM($E$213:$E$214)</f>
        <v>0.41463414634146339</v>
      </c>
      <c r="R214" s="2285"/>
      <c r="S214" s="748" t="s">
        <v>1069</v>
      </c>
      <c r="T214" s="749" t="s">
        <v>1019</v>
      </c>
      <c r="U214" s="591"/>
      <c r="V214" s="2364"/>
      <c r="W214" s="92" t="s">
        <v>174</v>
      </c>
      <c r="X214" s="92" t="s">
        <v>1169</v>
      </c>
      <c r="Y214" s="992">
        <f>(($R$211*14)+($R$212*60000)+$R$213+$R$215+$R$217+$T$218)*(1+$T$220)</f>
        <v>4176.2417673135396</v>
      </c>
      <c r="Z214" s="2366"/>
      <c r="AA214" s="2368"/>
      <c r="AB214" s="907"/>
      <c r="AC214" s="525"/>
      <c r="AD214" s="524"/>
      <c r="AE214" s="525"/>
      <c r="AF214" s="573" t="s">
        <v>174</v>
      </c>
      <c r="AG214" s="92" t="s">
        <v>1169</v>
      </c>
      <c r="AH214" s="727">
        <f>Y214</f>
        <v>4176.2417673135396</v>
      </c>
      <c r="AI214" s="660">
        <v>4638</v>
      </c>
      <c r="AJ214" s="660">
        <f>1063.2*5</f>
        <v>5316</v>
      </c>
      <c r="AK214" s="660"/>
      <c r="AL214" s="660">
        <f>817.86*5</f>
        <v>4089.3</v>
      </c>
      <c r="AM214" s="477"/>
      <c r="AN214" s="477"/>
      <c r="AO214" s="477"/>
      <c r="AP214" s="477"/>
      <c r="AQ214" s="477"/>
      <c r="AR214" s="477"/>
      <c r="AS214" s="477"/>
      <c r="AT214" s="477"/>
      <c r="AU214" s="477"/>
      <c r="AV214" s="477"/>
      <c r="AW214" s="477"/>
      <c r="AX214" s="477"/>
      <c r="AY214" s="477"/>
      <c r="AZ214" s="477"/>
      <c r="BA214" s="477"/>
      <c r="BB214" s="477"/>
      <c r="BC214" s="477"/>
      <c r="BD214" s="477"/>
      <c r="BE214" s="477"/>
      <c r="BF214" s="477"/>
      <c r="BG214" s="477"/>
    </row>
    <row r="215" spans="1:123">
      <c r="A215" s="2337"/>
      <c r="B215" s="2273" t="s">
        <v>1170</v>
      </c>
      <c r="C215" s="2274" t="s">
        <v>839</v>
      </c>
      <c r="D215" s="487">
        <v>208</v>
      </c>
      <c r="E215" s="714">
        <v>33</v>
      </c>
      <c r="F215" s="585" t="s">
        <v>35</v>
      </c>
      <c r="G215" s="585" t="s">
        <v>35</v>
      </c>
      <c r="H215" s="716">
        <v>2478.94</v>
      </c>
      <c r="I215" s="717">
        <v>716.25</v>
      </c>
      <c r="J215" s="718" t="s">
        <v>35</v>
      </c>
      <c r="K215" s="719" t="s">
        <v>35</v>
      </c>
      <c r="L215" s="718" t="s">
        <v>35</v>
      </c>
      <c r="M215" s="719" t="s">
        <v>35</v>
      </c>
      <c r="N215" s="575">
        <v>0</v>
      </c>
      <c r="O215" s="594" t="s">
        <v>847</v>
      </c>
      <c r="P215" s="594" t="s">
        <v>847</v>
      </c>
      <c r="Q215" s="486">
        <f>E215/SUM($E$215:$E$216)</f>
        <v>0.80487804878048785</v>
      </c>
      <c r="R215" s="2285">
        <f>SUMPRODUCT(Q215:Q216,N215:N216)</f>
        <v>28.23881092682927</v>
      </c>
      <c r="S215" s="667" t="s">
        <v>868</v>
      </c>
      <c r="T215" s="637" t="s">
        <v>869</v>
      </c>
      <c r="U215" s="560"/>
      <c r="V215" s="520"/>
      <c r="W215" s="522"/>
      <c r="X215" s="521"/>
      <c r="Y215" s="522"/>
      <c r="Z215" s="522"/>
      <c r="AA215" s="995"/>
      <c r="AC215" s="525"/>
      <c r="AD215" s="524"/>
      <c r="AE215" s="525"/>
      <c r="AF215" s="757"/>
      <c r="AG215" s="525"/>
      <c r="AH215" s="477"/>
      <c r="AI215" s="477"/>
      <c r="AJ215" s="477"/>
      <c r="AK215" s="477"/>
      <c r="AL215" s="477"/>
      <c r="AM215" s="477"/>
      <c r="AN215" s="477"/>
      <c r="AO215" s="477"/>
      <c r="AP215" s="477"/>
      <c r="AQ215" s="477"/>
      <c r="AR215" s="477"/>
      <c r="AS215" s="477"/>
      <c r="AT215" s="477"/>
      <c r="AU215" s="477"/>
      <c r="AV215" s="477"/>
      <c r="AW215" s="477"/>
      <c r="AX215" s="477"/>
      <c r="AY215" s="477"/>
      <c r="AZ215" s="477"/>
      <c r="BA215" s="477"/>
      <c r="BB215" s="477"/>
      <c r="BC215" s="477"/>
      <c r="BD215" s="477"/>
      <c r="BE215" s="477"/>
      <c r="BF215" s="477"/>
      <c r="BG215" s="477"/>
    </row>
    <row r="216" spans="1:123">
      <c r="A216" s="2337"/>
      <c r="B216" s="2273"/>
      <c r="C216" s="2274"/>
      <c r="D216" s="564">
        <v>460</v>
      </c>
      <c r="E216" s="714">
        <v>8</v>
      </c>
      <c r="F216" s="585" t="s">
        <v>35</v>
      </c>
      <c r="G216" s="585" t="s">
        <v>35</v>
      </c>
      <c r="H216" s="716">
        <v>2406.5</v>
      </c>
      <c r="I216" s="717">
        <v>957.27</v>
      </c>
      <c r="J216" s="718" t="s">
        <v>35</v>
      </c>
      <c r="K216" s="719" t="s">
        <v>35</v>
      </c>
      <c r="L216" s="718" t="s">
        <v>35</v>
      </c>
      <c r="M216" s="719" t="s">
        <v>35</v>
      </c>
      <c r="N216" s="575">
        <v>144.723906</v>
      </c>
      <c r="O216" s="594">
        <v>1.0900000000000001</v>
      </c>
      <c r="P216" s="594">
        <v>132.9881747</v>
      </c>
      <c r="Q216" s="486">
        <f>E216/SUM($E$215:$E$216)</f>
        <v>0.1951219512195122</v>
      </c>
      <c r="R216" s="2285"/>
      <c r="S216" s="564">
        <v>41</v>
      </c>
      <c r="T216" s="488" t="s">
        <v>35</v>
      </c>
      <c r="U216" s="452"/>
      <c r="V216" s="524"/>
      <c r="W216" s="515"/>
      <c r="X216" s="525"/>
      <c r="Y216" s="515"/>
      <c r="Z216" s="515"/>
      <c r="AA216" s="996"/>
      <c r="AC216" s="525"/>
      <c r="AD216" s="524"/>
      <c r="AE216" s="525"/>
      <c r="AF216" s="757"/>
      <c r="AG216" s="525"/>
      <c r="AH216" s="477"/>
      <c r="AI216" s="477"/>
      <c r="AJ216" s="477"/>
      <c r="AK216" s="477"/>
      <c r="AL216" s="477"/>
      <c r="AM216" s="477"/>
      <c r="AN216" s="477"/>
      <c r="AO216" s="477"/>
      <c r="AP216" s="477"/>
      <c r="AQ216" s="477"/>
      <c r="AR216" s="477"/>
      <c r="AS216" s="477"/>
      <c r="AT216" s="477"/>
      <c r="AU216" s="477"/>
      <c r="AV216" s="477"/>
      <c r="AW216" s="477"/>
      <c r="AX216" s="477"/>
      <c r="AY216" s="477"/>
      <c r="AZ216" s="477"/>
      <c r="BA216" s="477"/>
      <c r="BB216" s="477"/>
      <c r="BC216" s="477"/>
      <c r="BD216" s="477"/>
      <c r="BE216" s="477"/>
      <c r="BF216" s="477"/>
      <c r="BG216" s="477"/>
    </row>
    <row r="217" spans="1:123">
      <c r="A217" s="2337"/>
      <c r="B217" s="2273" t="s">
        <v>1041</v>
      </c>
      <c r="C217" s="2274" t="s">
        <v>862</v>
      </c>
      <c r="D217" s="487" t="s">
        <v>1066</v>
      </c>
      <c r="E217" s="714">
        <v>8</v>
      </c>
      <c r="F217" s="585" t="s">
        <v>35</v>
      </c>
      <c r="G217" s="585" t="s">
        <v>35</v>
      </c>
      <c r="H217" s="716">
        <v>3018.63</v>
      </c>
      <c r="I217" s="717">
        <v>666.82</v>
      </c>
      <c r="J217" s="718" t="s">
        <v>35</v>
      </c>
      <c r="K217" s="719" t="s">
        <v>35</v>
      </c>
      <c r="L217" s="718" t="s">
        <v>35</v>
      </c>
      <c r="M217" s="719" t="s">
        <v>35</v>
      </c>
      <c r="N217" s="575">
        <v>-80.570345000000003</v>
      </c>
      <c r="O217" s="594">
        <v>-0.56999999999999995</v>
      </c>
      <c r="P217" s="594">
        <v>141.81093970000001</v>
      </c>
      <c r="Q217" s="486">
        <v>0</v>
      </c>
      <c r="R217" s="2285">
        <f>SUMPRODUCT(Q217:Q219,N217:N219)</f>
        <v>-12.127528295510489</v>
      </c>
      <c r="S217" s="667" t="s">
        <v>876</v>
      </c>
      <c r="T217" s="637" t="s">
        <v>877</v>
      </c>
      <c r="U217" s="560"/>
      <c r="V217" s="524"/>
      <c r="W217" s="515"/>
      <c r="X217" s="525"/>
      <c r="Y217" s="515"/>
      <c r="Z217" s="515"/>
      <c r="AA217" s="996"/>
      <c r="AC217" s="525"/>
      <c r="AD217" s="524"/>
      <c r="AE217" s="525"/>
      <c r="AF217" s="757"/>
      <c r="AG217" s="525"/>
      <c r="AH217" s="477"/>
      <c r="AI217" s="477"/>
      <c r="AJ217" s="477"/>
      <c r="AK217" s="477"/>
      <c r="AL217" s="477"/>
      <c r="AM217" s="477"/>
      <c r="AN217" s="477"/>
      <c r="AO217" s="477"/>
      <c r="AP217" s="477"/>
      <c r="AQ217" s="477"/>
      <c r="AR217" s="477"/>
      <c r="AS217" s="477"/>
      <c r="AT217" s="477"/>
      <c r="AU217" s="477"/>
      <c r="AV217" s="477"/>
      <c r="AW217" s="477"/>
      <c r="AX217" s="477"/>
      <c r="AY217" s="477"/>
      <c r="AZ217" s="477"/>
      <c r="BA217" s="477"/>
      <c r="BB217" s="477"/>
      <c r="BC217" s="477"/>
      <c r="BD217" s="477"/>
      <c r="BE217" s="477"/>
      <c r="BF217" s="477"/>
      <c r="BG217" s="477"/>
    </row>
    <row r="218" spans="1:123">
      <c r="A218" s="2337"/>
      <c r="B218" s="2273"/>
      <c r="C218" s="2274"/>
      <c r="D218" s="487" t="s">
        <v>1171</v>
      </c>
      <c r="E218" s="714">
        <v>24</v>
      </c>
      <c r="F218" s="585" t="s">
        <v>35</v>
      </c>
      <c r="G218" s="585" t="s">
        <v>35</v>
      </c>
      <c r="H218" s="716">
        <v>1971.67</v>
      </c>
      <c r="I218" s="717">
        <v>236.96</v>
      </c>
      <c r="J218" s="718" t="s">
        <v>35</v>
      </c>
      <c r="K218" s="719" t="s">
        <v>35</v>
      </c>
      <c r="L218" s="718" t="s">
        <v>35</v>
      </c>
      <c r="M218" s="719" t="s">
        <v>35</v>
      </c>
      <c r="N218" s="575">
        <v>-791.32124699999997</v>
      </c>
      <c r="O218" s="594">
        <v>-5.0999999999999996</v>
      </c>
      <c r="P218" s="594">
        <v>155.02771749999999</v>
      </c>
      <c r="Q218" s="486">
        <v>1.532567E-2</v>
      </c>
      <c r="R218" s="2285"/>
      <c r="S218" s="568">
        <v>0.89430900000000002</v>
      </c>
      <c r="T218" s="997">
        <v>-2295.3947429999998</v>
      </c>
      <c r="U218" s="998"/>
      <c r="V218" s="524"/>
      <c r="W218" s="515"/>
      <c r="X218" s="525"/>
      <c r="Y218" s="515"/>
      <c r="Z218" s="515"/>
      <c r="AA218" s="515"/>
      <c r="AB218" s="454"/>
      <c r="AC218" s="525"/>
      <c r="AD218" s="524"/>
      <c r="AE218" s="525"/>
      <c r="AF218" s="757"/>
      <c r="AG218" s="525"/>
      <c r="AH218" s="477"/>
      <c r="AI218" s="477"/>
      <c r="AJ218" s="477"/>
      <c r="AK218" s="477"/>
      <c r="AL218" s="477"/>
      <c r="AM218" s="477"/>
      <c r="AN218" s="477"/>
      <c r="AO218" s="477"/>
      <c r="AP218" s="477"/>
      <c r="AQ218" s="477"/>
      <c r="AR218" s="477"/>
      <c r="AS218" s="477"/>
      <c r="AT218" s="477"/>
      <c r="AU218" s="477"/>
      <c r="AV218" s="477"/>
      <c r="AW218" s="477"/>
      <c r="AX218" s="477"/>
      <c r="AY218" s="477"/>
      <c r="AZ218" s="477"/>
      <c r="BA218" s="477"/>
      <c r="BB218" s="477"/>
      <c r="BC218" s="477"/>
      <c r="BD218" s="477"/>
      <c r="BE218" s="477"/>
      <c r="BF218" s="477"/>
      <c r="BG218" s="477"/>
    </row>
    <row r="219" spans="1:123">
      <c r="A219" s="2337"/>
      <c r="B219" s="2273"/>
      <c r="C219" s="2274"/>
      <c r="D219" s="487" t="s">
        <v>1158</v>
      </c>
      <c r="E219" s="714">
        <v>9</v>
      </c>
      <c r="F219" s="585" t="s">
        <v>35</v>
      </c>
      <c r="G219" s="585" t="s">
        <v>35</v>
      </c>
      <c r="H219" s="716">
        <v>3287.56</v>
      </c>
      <c r="I219" s="717">
        <v>714.02</v>
      </c>
      <c r="J219" s="718" t="s">
        <v>35</v>
      </c>
      <c r="K219" s="719" t="s">
        <v>35</v>
      </c>
      <c r="L219" s="718" t="s">
        <v>35</v>
      </c>
      <c r="M219" s="719" t="s">
        <v>35</v>
      </c>
      <c r="N219" s="575">
        <v>0</v>
      </c>
      <c r="O219" s="594" t="s">
        <v>847</v>
      </c>
      <c r="P219" s="594" t="s">
        <v>847</v>
      </c>
      <c r="Q219" s="486">
        <v>0.17624521100000001</v>
      </c>
      <c r="R219" s="2285"/>
      <c r="S219" s="498" t="s">
        <v>883</v>
      </c>
      <c r="T219" s="499" t="s">
        <v>884</v>
      </c>
      <c r="U219" s="470"/>
      <c r="V219" s="524"/>
      <c r="W219" s="515"/>
      <c r="X219" s="525"/>
      <c r="Y219" s="515"/>
      <c r="Z219" s="515"/>
      <c r="AA219" s="515"/>
      <c r="AB219" s="454"/>
      <c r="AC219" s="525"/>
      <c r="AD219" s="524"/>
      <c r="AE219" s="525"/>
      <c r="AF219" s="757"/>
      <c r="AG219" s="525"/>
      <c r="AH219" s="477"/>
      <c r="AI219" s="477"/>
      <c r="AJ219" s="477"/>
      <c r="AK219" s="477"/>
      <c r="AL219" s="477"/>
      <c r="AM219" s="477"/>
      <c r="AN219" s="477"/>
      <c r="AO219" s="477"/>
      <c r="AP219" s="477"/>
      <c r="AQ219" s="477"/>
      <c r="AR219" s="477"/>
      <c r="AS219" s="477"/>
      <c r="AT219" s="477"/>
      <c r="AU219" s="477"/>
      <c r="AV219" s="477"/>
      <c r="AW219" s="477"/>
      <c r="AX219" s="477"/>
      <c r="AY219" s="477"/>
      <c r="AZ219" s="477"/>
      <c r="BA219" s="477"/>
      <c r="BB219" s="477"/>
      <c r="BC219" s="477"/>
      <c r="BD219" s="477"/>
      <c r="BE219" s="477"/>
      <c r="BF219" s="477"/>
      <c r="BG219" s="477"/>
    </row>
    <row r="220" spans="1:123">
      <c r="A220" s="2337"/>
      <c r="B220" s="566" t="s">
        <v>1097</v>
      </c>
      <c r="C220" s="567" t="s">
        <v>853</v>
      </c>
      <c r="D220" s="743" t="s">
        <v>35</v>
      </c>
      <c r="E220" s="743" t="s">
        <v>35</v>
      </c>
      <c r="F220" s="743" t="s">
        <v>35</v>
      </c>
      <c r="G220" s="743" t="s">
        <v>35</v>
      </c>
      <c r="H220" s="743" t="s">
        <v>35</v>
      </c>
      <c r="I220" s="719" t="s">
        <v>35</v>
      </c>
      <c r="J220" s="818" t="s">
        <v>853</v>
      </c>
      <c r="K220" s="999" t="s">
        <v>1172</v>
      </c>
      <c r="L220" s="718" t="s">
        <v>35</v>
      </c>
      <c r="M220" s="719" t="s">
        <v>35</v>
      </c>
      <c r="N220" s="758"/>
      <c r="O220" s="759"/>
      <c r="P220" s="759"/>
      <c r="Q220" s="605"/>
      <c r="R220" s="605"/>
      <c r="S220" s="568">
        <v>184.548</v>
      </c>
      <c r="T220" s="778">
        <v>0.25</v>
      </c>
      <c r="U220" s="603"/>
      <c r="V220" s="524"/>
      <c r="W220" s="515"/>
      <c r="X220" s="525"/>
      <c r="Y220" s="515"/>
      <c r="Z220" s="515"/>
      <c r="AA220" s="515"/>
      <c r="AB220" s="454"/>
      <c r="AC220" s="525"/>
      <c r="AD220" s="524"/>
      <c r="AE220" s="525"/>
      <c r="AF220" s="757"/>
      <c r="AG220" s="525"/>
      <c r="AH220" s="477"/>
      <c r="AI220" s="477"/>
      <c r="AJ220" s="477"/>
      <c r="AK220" s="477"/>
      <c r="AL220" s="477"/>
      <c r="AM220" s="477"/>
      <c r="AN220" s="477"/>
      <c r="AO220" s="477"/>
      <c r="AP220" s="477"/>
      <c r="AQ220" s="477"/>
      <c r="AR220" s="477"/>
      <c r="AS220" s="477"/>
      <c r="AT220" s="477"/>
      <c r="AU220" s="477"/>
      <c r="AV220" s="477"/>
      <c r="AW220" s="477"/>
      <c r="AX220" s="477"/>
      <c r="AY220" s="477"/>
      <c r="AZ220" s="477"/>
      <c r="BA220" s="477"/>
      <c r="BB220" s="477"/>
      <c r="BC220" s="477"/>
      <c r="BD220" s="477"/>
      <c r="BE220" s="477"/>
      <c r="BF220" s="477"/>
      <c r="BG220" s="477"/>
    </row>
    <row r="221" spans="1:123">
      <c r="A221" s="2337"/>
      <c r="B221" s="1000" t="s">
        <v>1173</v>
      </c>
      <c r="C221" s="1001" t="s">
        <v>853</v>
      </c>
      <c r="D221" s="743" t="s">
        <v>35</v>
      </c>
      <c r="E221" s="743" t="s">
        <v>35</v>
      </c>
      <c r="F221" s="743" t="s">
        <v>35</v>
      </c>
      <c r="G221" s="743" t="s">
        <v>35</v>
      </c>
      <c r="H221" s="743" t="s">
        <v>35</v>
      </c>
      <c r="I221" s="719" t="s">
        <v>35</v>
      </c>
      <c r="J221" s="1002" t="s">
        <v>853</v>
      </c>
      <c r="K221" s="1003" t="s">
        <v>1174</v>
      </c>
      <c r="L221" s="735" t="s">
        <v>35</v>
      </c>
      <c r="M221" s="719" t="s">
        <v>35</v>
      </c>
      <c r="N221" s="758"/>
      <c r="O221" s="759"/>
      <c r="P221" s="759"/>
      <c r="Q221" s="605"/>
      <c r="R221" s="605"/>
      <c r="S221" s="520"/>
      <c r="T221" s="723"/>
      <c r="V221" s="524"/>
      <c r="W221" s="515"/>
      <c r="X221" s="525"/>
      <c r="Y221" s="515"/>
      <c r="Z221" s="515"/>
      <c r="AA221" s="515"/>
      <c r="AB221" s="454"/>
      <c r="AC221" s="525"/>
      <c r="AD221" s="524"/>
      <c r="AE221" s="525"/>
      <c r="AF221" s="757"/>
      <c r="AG221" s="525"/>
      <c r="AH221" s="477"/>
      <c r="AI221" s="477"/>
      <c r="AJ221" s="477"/>
      <c r="AK221" s="477"/>
      <c r="AL221" s="477"/>
      <c r="AM221" s="477"/>
      <c r="AN221" s="477"/>
      <c r="AO221" s="477"/>
      <c r="AP221" s="477"/>
      <c r="AQ221" s="477"/>
      <c r="AR221" s="477"/>
      <c r="AS221" s="477"/>
      <c r="AT221" s="477"/>
      <c r="AU221" s="477"/>
      <c r="AV221" s="477"/>
      <c r="AW221" s="477"/>
      <c r="AX221" s="477"/>
      <c r="AY221" s="477"/>
      <c r="AZ221" s="477"/>
      <c r="BA221" s="477"/>
      <c r="BB221" s="477"/>
      <c r="BC221" s="477"/>
      <c r="BD221" s="477"/>
      <c r="BE221" s="477"/>
      <c r="BF221" s="477"/>
      <c r="BG221" s="477"/>
    </row>
    <row r="222" spans="1:123" ht="18.600000000000001" thickBot="1">
      <c r="A222" s="780"/>
      <c r="B222" s="1004"/>
      <c r="C222" s="1005"/>
      <c r="D222" s="525"/>
      <c r="E222" s="525"/>
      <c r="F222" s="525"/>
      <c r="G222" s="525"/>
      <c r="H222" s="525"/>
      <c r="I222" s="525"/>
      <c r="J222" s="1006"/>
      <c r="K222" s="1007"/>
      <c r="L222" s="785"/>
      <c r="M222" s="525"/>
      <c r="N222" s="758"/>
      <c r="O222" s="759"/>
      <c r="P222" s="759"/>
      <c r="Q222" s="605"/>
      <c r="R222" s="605"/>
      <c r="S222" s="675"/>
      <c r="T222" s="1008"/>
      <c r="V222" s="675"/>
      <c r="W222" s="616"/>
      <c r="X222" s="676"/>
      <c r="Y222" s="616"/>
      <c r="Z222" s="616"/>
      <c r="AA222" s="1009"/>
      <c r="AB222" s="454"/>
      <c r="AC222" s="525"/>
      <c r="AD222" s="675"/>
      <c r="AE222" s="784"/>
      <c r="AF222" s="757"/>
      <c r="AG222" s="525"/>
      <c r="AH222" s="477"/>
      <c r="AI222" s="477"/>
      <c r="AJ222" s="477"/>
      <c r="AK222" s="477"/>
      <c r="AL222" s="477"/>
      <c r="AM222" s="477"/>
      <c r="AN222" s="477"/>
      <c r="AO222" s="477"/>
      <c r="AP222" s="477"/>
      <c r="AQ222" s="477"/>
      <c r="AR222" s="477"/>
      <c r="AS222" s="477"/>
      <c r="AT222" s="477"/>
      <c r="AU222" s="477"/>
      <c r="AV222" s="477"/>
      <c r="AW222" s="477"/>
      <c r="AX222" s="477"/>
      <c r="AY222" s="477"/>
      <c r="AZ222" s="477"/>
      <c r="BA222" s="477"/>
      <c r="BB222" s="477"/>
      <c r="BC222" s="477"/>
      <c r="BD222" s="477"/>
      <c r="BE222" s="477"/>
      <c r="BF222" s="477"/>
      <c r="BG222" s="477"/>
    </row>
    <row r="223" spans="1:123" s="626" customFormat="1" ht="9" customHeight="1" thickBot="1">
      <c r="A223" s="540"/>
      <c r="B223" s="541"/>
      <c r="C223" s="444"/>
      <c r="D223" s="445"/>
      <c r="E223" s="445"/>
      <c r="F223" s="445"/>
      <c r="G223" s="445"/>
      <c r="H223" s="445"/>
      <c r="I223" s="445"/>
      <c r="J223" s="446"/>
      <c r="K223" s="445"/>
      <c r="L223" s="446"/>
      <c r="M223" s="447"/>
      <c r="N223" s="448"/>
      <c r="O223" s="449"/>
      <c r="P223" s="449"/>
      <c r="Q223" s="450"/>
      <c r="R223" s="450"/>
      <c r="S223" s="451"/>
      <c r="T223" s="451"/>
      <c r="U223" s="452"/>
      <c r="V223" s="453"/>
      <c r="W223" s="447"/>
      <c r="X223" s="447"/>
      <c r="Y223" s="451"/>
      <c r="Z223" s="451"/>
      <c r="AA223" s="451"/>
      <c r="AB223" s="454"/>
      <c r="AC223" s="447"/>
      <c r="AD223" s="447"/>
      <c r="AE223" s="447"/>
      <c r="AF223" s="455"/>
      <c r="AG223" s="447"/>
      <c r="AH223" s="456"/>
      <c r="AI223" s="456"/>
      <c r="AJ223" s="456"/>
      <c r="AK223" s="456"/>
      <c r="AL223" s="456"/>
      <c r="AM223" s="456"/>
      <c r="AN223" s="653"/>
      <c r="AO223" s="653"/>
      <c r="AP223" s="653"/>
      <c r="AQ223" s="653"/>
      <c r="AR223" s="653"/>
      <c r="AS223" s="653"/>
      <c r="AT223" s="653"/>
      <c r="AU223" s="653"/>
      <c r="AV223" s="653"/>
      <c r="AW223" s="653"/>
      <c r="AX223" s="653"/>
      <c r="AY223" s="653"/>
      <c r="AZ223" s="653"/>
      <c r="BA223" s="653"/>
      <c r="BB223" s="653"/>
      <c r="BC223" s="653"/>
      <c r="BD223" s="653"/>
      <c r="BE223" s="653"/>
      <c r="BF223" s="653"/>
      <c r="BG223" s="653"/>
      <c r="BH223" s="432"/>
      <c r="CF223" s="542"/>
      <c r="CG223" s="542"/>
      <c r="CH223" s="542"/>
      <c r="CI223" s="542"/>
      <c r="CJ223" s="542"/>
      <c r="CK223" s="542"/>
      <c r="CL223" s="542"/>
      <c r="CM223" s="542"/>
      <c r="CN223" s="542"/>
      <c r="CO223" s="542"/>
      <c r="CP223" s="542"/>
      <c r="CQ223" s="542"/>
      <c r="CR223" s="542"/>
      <c r="CS223" s="542"/>
      <c r="CT223" s="542"/>
      <c r="CU223" s="542"/>
      <c r="CV223" s="542"/>
      <c r="CW223" s="542"/>
      <c r="CX223" s="542"/>
      <c r="CY223" s="542"/>
      <c r="CZ223" s="542"/>
      <c r="DA223" s="542"/>
      <c r="DB223" s="542"/>
      <c r="DC223" s="542"/>
      <c r="DD223" s="542"/>
      <c r="DE223" s="542"/>
      <c r="DF223" s="542"/>
      <c r="DG223" s="542"/>
      <c r="DH223" s="542"/>
      <c r="DI223" s="543"/>
      <c r="DJ223" s="542"/>
      <c r="DK223" s="542"/>
      <c r="DL223" s="542"/>
      <c r="DM223" s="542"/>
      <c r="DN223" s="542"/>
      <c r="DO223" s="542"/>
      <c r="DP223" s="542"/>
      <c r="DQ223" s="542"/>
      <c r="DR223" s="542"/>
      <c r="DS223" s="542"/>
    </row>
    <row r="224" spans="1:123" ht="15" customHeight="1">
      <c r="A224" s="2336" t="s">
        <v>545</v>
      </c>
      <c r="B224" s="627" t="s">
        <v>521</v>
      </c>
      <c r="C224" s="654" t="s">
        <v>853</v>
      </c>
      <c r="D224" s="668" t="s">
        <v>1175</v>
      </c>
      <c r="E224" s="714">
        <v>43</v>
      </c>
      <c r="F224" s="971">
        <v>10.753489999999999</v>
      </c>
      <c r="G224" s="971">
        <v>0.95327700000000004</v>
      </c>
      <c r="H224" s="716">
        <v>28230.67</v>
      </c>
      <c r="I224" s="717">
        <v>28669.07</v>
      </c>
      <c r="J224" s="989" t="s">
        <v>853</v>
      </c>
      <c r="K224" s="574" t="s">
        <v>1176</v>
      </c>
      <c r="L224" s="991" t="s">
        <v>35</v>
      </c>
      <c r="M224" s="719" t="s">
        <v>35</v>
      </c>
      <c r="N224" s="633">
        <v>2312.2261600000002</v>
      </c>
      <c r="O224" s="1010">
        <v>2.02</v>
      </c>
      <c r="P224" s="1010">
        <v>1147.4071899999999</v>
      </c>
      <c r="Q224" s="635" t="s">
        <v>35</v>
      </c>
      <c r="R224" s="1011">
        <f>N224</f>
        <v>2312.2261600000002</v>
      </c>
      <c r="S224" s="587" t="s">
        <v>841</v>
      </c>
      <c r="T224" s="637" t="s">
        <v>842</v>
      </c>
      <c r="U224" s="560"/>
      <c r="V224" s="2332" t="s">
        <v>843</v>
      </c>
      <c r="W224" s="92" t="s">
        <v>175</v>
      </c>
      <c r="X224" s="92" t="s">
        <v>1177</v>
      </c>
      <c r="Y224" s="1012">
        <f>((10.8*$R$224)+(187000*$R$225)+$R$226+$R$228+$R$230+$T$231)*(1+$T$233)</f>
        <v>14805.803281227907</v>
      </c>
      <c r="Z224" s="563" t="s">
        <v>918</v>
      </c>
      <c r="AA224" s="977" t="s">
        <v>918</v>
      </c>
      <c r="AB224" s="978"/>
      <c r="AC224" s="525"/>
      <c r="AD224" s="975"/>
      <c r="AE224" s="976"/>
      <c r="AF224" s="764" t="s">
        <v>174</v>
      </c>
      <c r="AG224" s="655" t="s">
        <v>1178</v>
      </c>
      <c r="AH224" s="1013">
        <f>((10.9*$R$224)+(240000*$R$225)+$R$226+$R$228+$R$230+$T$231)*1.2</f>
        <v>20163.638420427906</v>
      </c>
      <c r="AI224" s="1014">
        <f>14700*1.2</f>
        <v>17640</v>
      </c>
      <c r="AJ224" s="1014">
        <f>709*20</f>
        <v>14180</v>
      </c>
      <c r="AK224" s="1014">
        <f>785.77*20</f>
        <v>15715.4</v>
      </c>
      <c r="AL224" s="1014">
        <f>765.86*20</f>
        <v>15317.2</v>
      </c>
      <c r="AM224" s="1014">
        <v>12133.6</v>
      </c>
      <c r="AN224" s="477"/>
      <c r="AO224" s="477"/>
      <c r="AP224" s="477"/>
      <c r="AQ224" s="477"/>
      <c r="AR224" s="477"/>
      <c r="AS224" s="477"/>
      <c r="AT224" s="477"/>
      <c r="AU224" s="477"/>
      <c r="AV224" s="477"/>
      <c r="AW224" s="477"/>
      <c r="AX224" s="477"/>
      <c r="AY224" s="477"/>
      <c r="AZ224" s="477"/>
      <c r="BA224" s="477"/>
      <c r="BB224" s="477"/>
      <c r="BC224" s="477"/>
      <c r="BD224" s="477"/>
      <c r="BE224" s="477"/>
      <c r="BF224" s="477"/>
      <c r="BG224" s="477"/>
    </row>
    <row r="225" spans="1:123" s="1020" customFormat="1" ht="28.8">
      <c r="A225" s="2337"/>
      <c r="B225" s="894" t="s">
        <v>543</v>
      </c>
      <c r="C225" s="493" t="s">
        <v>853</v>
      </c>
      <c r="D225" s="748" t="s">
        <v>1179</v>
      </c>
      <c r="E225" s="714">
        <v>43</v>
      </c>
      <c r="F225" s="993">
        <v>387321.8</v>
      </c>
      <c r="G225" s="993">
        <v>361279.2</v>
      </c>
      <c r="H225" s="716">
        <v>28230.67</v>
      </c>
      <c r="I225" s="717">
        <v>28669.07</v>
      </c>
      <c r="J225" s="986" t="s">
        <v>855</v>
      </c>
      <c r="K225" s="1015" t="s">
        <v>1180</v>
      </c>
      <c r="L225" s="834" t="s">
        <v>35</v>
      </c>
      <c r="M225" s="697" t="s">
        <v>35</v>
      </c>
      <c r="N225" s="835">
        <v>7.9880000000000007E-2</v>
      </c>
      <c r="O225" s="795">
        <v>27.45</v>
      </c>
      <c r="P225" s="795">
        <v>2.9099999999999998E-3</v>
      </c>
      <c r="Q225" s="485" t="s">
        <v>35</v>
      </c>
      <c r="R225" s="972">
        <f>N225</f>
        <v>7.9880000000000007E-2</v>
      </c>
      <c r="S225" s="493" t="s">
        <v>1135</v>
      </c>
      <c r="T225" s="494" t="s">
        <v>1065</v>
      </c>
      <c r="U225" s="591"/>
      <c r="V225" s="2333"/>
      <c r="W225" s="178" t="s">
        <v>174</v>
      </c>
      <c r="X225" s="178" t="s">
        <v>1181</v>
      </c>
      <c r="Y225" s="1016">
        <f>((10.8*$R$224)+(187000*$R$225)+$R$226+$R$228+$R$230+$T$231)*(1+$T$233)</f>
        <v>14805.803281227907</v>
      </c>
      <c r="Z225" s="973">
        <f>Y225-Y224</f>
        <v>0</v>
      </c>
      <c r="AA225" s="906">
        <f>(10.8-10.8)*$P$224</f>
        <v>0</v>
      </c>
      <c r="AB225" s="907"/>
      <c r="AC225" s="858"/>
      <c r="AD225" s="1017"/>
      <c r="AE225" s="858"/>
      <c r="AF225" s="1018" t="s">
        <v>174</v>
      </c>
      <c r="AG225" s="178" t="s">
        <v>1182</v>
      </c>
      <c r="AH225" s="979">
        <f>((10*$R$224)+(840000*$R$225)+$R$226+$R$228+$R$230+$T$231)*1.2</f>
        <v>75180.03416762792</v>
      </c>
      <c r="AI225" s="695">
        <f>66000*1.2</f>
        <v>79200</v>
      </c>
      <c r="AJ225" s="695"/>
      <c r="AK225" s="695">
        <f>555.15 *70</f>
        <v>38860.5</v>
      </c>
      <c r="AL225" s="695">
        <f>663.09*70</f>
        <v>46416.3</v>
      </c>
      <c r="AM225" s="695">
        <v>39329</v>
      </c>
      <c r="AN225" s="783"/>
      <c r="AO225" s="783"/>
      <c r="AP225" s="783"/>
      <c r="AQ225" s="783"/>
      <c r="AR225" s="783"/>
      <c r="AS225" s="783"/>
      <c r="AT225" s="783"/>
      <c r="AU225" s="783"/>
      <c r="AV225" s="783"/>
      <c r="AW225" s="783"/>
      <c r="AX225" s="783"/>
      <c r="AY225" s="783"/>
      <c r="AZ225" s="783"/>
      <c r="BA225" s="783"/>
      <c r="BB225" s="783"/>
      <c r="BC225" s="783"/>
      <c r="BD225" s="783"/>
      <c r="BE225" s="783"/>
      <c r="BF225" s="783"/>
      <c r="BG225" s="783"/>
      <c r="BH225" s="1019"/>
      <c r="CF225" s="1021"/>
      <c r="CG225" s="1021"/>
      <c r="CH225" s="1021"/>
      <c r="CI225" s="1021"/>
      <c r="CJ225" s="1021"/>
      <c r="CK225" s="1021"/>
      <c r="CL225" s="1021"/>
      <c r="CM225" s="1021"/>
      <c r="CN225" s="1021"/>
      <c r="CO225" s="1021"/>
      <c r="CP225" s="1021"/>
      <c r="CQ225" s="1021"/>
      <c r="CR225" s="1021"/>
      <c r="CS225" s="1021"/>
      <c r="CT225" s="1021"/>
      <c r="CU225" s="1021"/>
      <c r="CV225" s="1021"/>
      <c r="CW225" s="1021"/>
      <c r="CX225" s="1021"/>
      <c r="CY225" s="1021"/>
      <c r="CZ225" s="1021"/>
      <c r="DA225" s="1021"/>
      <c r="DB225" s="1021"/>
      <c r="DC225" s="1021"/>
      <c r="DD225" s="1021"/>
      <c r="DE225" s="1021"/>
      <c r="DF225" s="1021"/>
      <c r="DG225" s="1021"/>
      <c r="DH225" s="1021"/>
      <c r="DI225" s="1022"/>
      <c r="DJ225" s="1021"/>
      <c r="DK225" s="1021"/>
      <c r="DL225" s="1021"/>
      <c r="DM225" s="1021"/>
      <c r="DN225" s="1021"/>
      <c r="DO225" s="1021"/>
      <c r="DP225" s="1021"/>
      <c r="DQ225" s="1021"/>
      <c r="DR225" s="1021"/>
      <c r="DS225" s="1021"/>
    </row>
    <row r="226" spans="1:123">
      <c r="A226" s="2337"/>
      <c r="B226" s="2273" t="s">
        <v>1170</v>
      </c>
      <c r="C226" s="2274" t="s">
        <v>839</v>
      </c>
      <c r="D226" s="487">
        <v>208</v>
      </c>
      <c r="E226" s="714">
        <v>8</v>
      </c>
      <c r="F226" s="585" t="s">
        <v>35</v>
      </c>
      <c r="G226" s="1023" t="s">
        <v>35</v>
      </c>
      <c r="H226" s="716">
        <v>12200</v>
      </c>
      <c r="I226" s="717">
        <v>5507.67</v>
      </c>
      <c r="J226" s="718" t="s">
        <v>35</v>
      </c>
      <c r="K226" s="719" t="s">
        <v>35</v>
      </c>
      <c r="L226" s="718" t="s">
        <v>35</v>
      </c>
      <c r="M226" s="719" t="s">
        <v>35</v>
      </c>
      <c r="N226" s="575">
        <v>0</v>
      </c>
      <c r="O226" s="594" t="s">
        <v>847</v>
      </c>
      <c r="P226" s="594" t="s">
        <v>847</v>
      </c>
      <c r="Q226" s="486">
        <f>E226/SUM(E226:E227)</f>
        <v>0.18604651162790697</v>
      </c>
      <c r="R226" s="2285">
        <f>SUMPRODUCT(Q226:Q227,N226:N227)</f>
        <v>-1495.6225802325582</v>
      </c>
      <c r="S226" s="587" t="s">
        <v>858</v>
      </c>
      <c r="T226" s="511" t="s">
        <v>859</v>
      </c>
      <c r="U226" s="470"/>
      <c r="V226" s="2333"/>
      <c r="W226" s="92" t="s">
        <v>174</v>
      </c>
      <c r="X226" s="92" t="s">
        <v>1183</v>
      </c>
      <c r="Y226" s="1016">
        <f>((11.5*$R$224)+(187000*$R$225)+$R$226+$R$228+$R$230+$T$231)*(1+$T$233)</f>
        <v>16748.073255627918</v>
      </c>
      <c r="Z226" s="973">
        <f>Y226-Y224</f>
        <v>1942.2699744000111</v>
      </c>
      <c r="AA226" s="977">
        <f>(11.5-10.8)*$P$224</f>
        <v>803.18503299999907</v>
      </c>
      <c r="AB226" s="978"/>
      <c r="AC226" s="525"/>
      <c r="AD226" s="524"/>
      <c r="AE226" s="525"/>
      <c r="AF226" s="757"/>
      <c r="AG226" s="525"/>
      <c r="AH226" s="477"/>
      <c r="AI226" s="477"/>
      <c r="AJ226" s="477"/>
      <c r="AK226" s="477"/>
      <c r="AL226" s="477"/>
      <c r="AM226" s="477"/>
      <c r="AN226" s="477"/>
      <c r="AO226" s="477"/>
      <c r="AP226" s="477"/>
      <c r="AQ226" s="477"/>
      <c r="AR226" s="477"/>
      <c r="AS226" s="477"/>
      <c r="AT226" s="477"/>
      <c r="AU226" s="477"/>
      <c r="AV226" s="477"/>
      <c r="AW226" s="477"/>
      <c r="AX226" s="477"/>
      <c r="AY226" s="477"/>
      <c r="AZ226" s="477"/>
      <c r="BA226" s="477"/>
      <c r="BB226" s="477"/>
      <c r="BC226" s="477"/>
      <c r="BD226" s="477"/>
      <c r="BE226" s="477"/>
      <c r="BF226" s="477"/>
      <c r="BG226" s="477"/>
    </row>
    <row r="227" spans="1:123">
      <c r="A227" s="2337"/>
      <c r="B227" s="2273"/>
      <c r="C227" s="2274"/>
      <c r="D227" s="564">
        <v>460</v>
      </c>
      <c r="E227" s="714">
        <v>35</v>
      </c>
      <c r="F227" s="585" t="s">
        <v>35</v>
      </c>
      <c r="G227" s="1023" t="s">
        <v>35</v>
      </c>
      <c r="H227" s="716">
        <v>31894.83</v>
      </c>
      <c r="I227" s="717">
        <v>30574.09</v>
      </c>
      <c r="J227" s="718" t="s">
        <v>35</v>
      </c>
      <c r="K227" s="719" t="s">
        <v>35</v>
      </c>
      <c r="L227" s="718" t="s">
        <v>35</v>
      </c>
      <c r="M227" s="719" t="s">
        <v>35</v>
      </c>
      <c r="N227" s="575">
        <v>-1837.4791700000001</v>
      </c>
      <c r="O227" s="594">
        <v>-0.77</v>
      </c>
      <c r="P227" s="594">
        <v>2392.1053099999999</v>
      </c>
      <c r="Q227" s="486">
        <f>E227/SUM(E226:E227)</f>
        <v>0.81395348837209303</v>
      </c>
      <c r="R227" s="2285"/>
      <c r="S227" s="981" t="s">
        <v>310</v>
      </c>
      <c r="T227" s="987" t="s">
        <v>1019</v>
      </c>
      <c r="U227" s="591"/>
      <c r="V227" s="2333"/>
      <c r="W227" s="92" t="s">
        <v>174</v>
      </c>
      <c r="X227" s="92" t="s">
        <v>1184</v>
      </c>
      <c r="Y227" s="1016">
        <f>((12*$R$224)+(187000*$R$225)+$R$226+$R$228+$R$230+$T$231)*(1+$T$233)</f>
        <v>18135.408951627913</v>
      </c>
      <c r="Z227" s="973">
        <f>Y227-Y224</f>
        <v>3329.6056704000057</v>
      </c>
      <c r="AA227" s="977">
        <f>(12-10.8)*$P$224</f>
        <v>1376.888627999999</v>
      </c>
      <c r="AB227" s="978"/>
      <c r="AC227" s="525"/>
      <c r="AD227" s="524"/>
      <c r="AE227" s="525"/>
      <c r="AF227" s="757"/>
      <c r="AG227" s="525"/>
      <c r="AH227" s="477"/>
      <c r="AI227" s="477"/>
      <c r="AJ227" s="477"/>
      <c r="AK227" s="477"/>
      <c r="AL227" s="477"/>
      <c r="AM227" s="477"/>
      <c r="AN227" s="477"/>
      <c r="AO227" s="477"/>
      <c r="AP227" s="477"/>
      <c r="AQ227" s="477"/>
      <c r="AR227" s="477"/>
      <c r="AS227" s="477"/>
      <c r="AT227" s="477"/>
      <c r="AU227" s="477"/>
      <c r="AV227" s="477"/>
      <c r="AW227" s="477"/>
      <c r="AX227" s="477"/>
      <c r="AY227" s="477"/>
      <c r="AZ227" s="477"/>
      <c r="BA227" s="477"/>
      <c r="BB227" s="477"/>
      <c r="BC227" s="477"/>
      <c r="BD227" s="477"/>
      <c r="BE227" s="477"/>
      <c r="BF227" s="477"/>
      <c r="BG227" s="477"/>
    </row>
    <row r="228" spans="1:123">
      <c r="A228" s="2337"/>
      <c r="B228" s="2273" t="s">
        <v>1185</v>
      </c>
      <c r="C228" s="2274" t="s">
        <v>839</v>
      </c>
      <c r="D228" s="568" t="s">
        <v>840</v>
      </c>
      <c r="E228" s="714">
        <v>17</v>
      </c>
      <c r="F228" s="585" t="s">
        <v>35</v>
      </c>
      <c r="G228" s="1023" t="s">
        <v>35</v>
      </c>
      <c r="H228" s="716">
        <v>44291.35</v>
      </c>
      <c r="I228" s="717">
        <v>34696.26</v>
      </c>
      <c r="J228" s="2361" t="s">
        <v>839</v>
      </c>
      <c r="K228" s="997" t="s">
        <v>840</v>
      </c>
      <c r="L228" s="718" t="s">
        <v>35</v>
      </c>
      <c r="M228" s="719" t="s">
        <v>35</v>
      </c>
      <c r="N228" s="575">
        <v>-2206.5700499999998</v>
      </c>
      <c r="O228" s="594">
        <v>-1.07</v>
      </c>
      <c r="P228" s="594">
        <v>2064.9250900000002</v>
      </c>
      <c r="Q228" s="486">
        <f>E228/SUM(E228:E229)</f>
        <v>0.39534883720930231</v>
      </c>
      <c r="R228" s="2285">
        <f>SUMPRODUCT(Q228:Q229,N228:N229)</f>
        <v>-872.36490348837197</v>
      </c>
      <c r="S228" s="587" t="s">
        <v>868</v>
      </c>
      <c r="T228" s="592" t="s">
        <v>869</v>
      </c>
      <c r="U228" s="560"/>
      <c r="V228" s="2333"/>
      <c r="W228" s="92" t="s">
        <v>175</v>
      </c>
      <c r="X228" s="583" t="s">
        <v>1186</v>
      </c>
      <c r="Y228" s="1016">
        <f>((9.8*$R$224)+(500000*$R$225)+$R$226+$R$228+$R$230+$T$231)*(1+$T$233)</f>
        <v>42034.059889227909</v>
      </c>
      <c r="Z228" s="563" t="s">
        <v>918</v>
      </c>
      <c r="AA228" s="977" t="s">
        <v>918</v>
      </c>
      <c r="AB228" s="978"/>
      <c r="AC228" s="525"/>
      <c r="AD228" s="524"/>
      <c r="AE228" s="525"/>
      <c r="AF228" s="757"/>
      <c r="AG228" s="525"/>
      <c r="AH228" s="673"/>
      <c r="AI228" s="477"/>
      <c r="AJ228" s="477"/>
      <c r="AK228" s="477"/>
      <c r="AL228" s="477"/>
      <c r="AM228" s="477"/>
      <c r="AN228" s="477"/>
      <c r="AO228" s="477"/>
      <c r="AP228" s="477"/>
      <c r="AQ228" s="477"/>
      <c r="AR228" s="477"/>
      <c r="AS228" s="477"/>
      <c r="AT228" s="477"/>
      <c r="AU228" s="477"/>
      <c r="AV228" s="477"/>
      <c r="AW228" s="477"/>
      <c r="AX228" s="477"/>
      <c r="AY228" s="477"/>
      <c r="AZ228" s="477"/>
      <c r="BA228" s="477"/>
      <c r="BB228" s="477"/>
      <c r="BC228" s="477"/>
      <c r="BD228" s="477"/>
      <c r="BE228" s="477"/>
      <c r="BF228" s="477"/>
      <c r="BG228" s="477"/>
    </row>
    <row r="229" spans="1:123">
      <c r="A229" s="2337"/>
      <c r="B229" s="2273"/>
      <c r="C229" s="2274"/>
      <c r="D229" s="568" t="s">
        <v>64</v>
      </c>
      <c r="E229" s="714">
        <v>26</v>
      </c>
      <c r="F229" s="585" t="s">
        <v>35</v>
      </c>
      <c r="G229" s="1023" t="s">
        <v>35</v>
      </c>
      <c r="H229" s="716">
        <v>17729.46</v>
      </c>
      <c r="I229" s="717">
        <v>17896.3</v>
      </c>
      <c r="J229" s="2361"/>
      <c r="K229" s="997" t="s">
        <v>64</v>
      </c>
      <c r="L229" s="718" t="s">
        <v>35</v>
      </c>
      <c r="M229" s="719" t="s">
        <v>35</v>
      </c>
      <c r="N229" s="575">
        <v>0</v>
      </c>
      <c r="O229" s="594" t="s">
        <v>847</v>
      </c>
      <c r="P229" s="594" t="s">
        <v>847</v>
      </c>
      <c r="Q229" s="486">
        <f>E229/SUM(E228:E229)</f>
        <v>0.60465116279069764</v>
      </c>
      <c r="R229" s="2285"/>
      <c r="S229" s="982">
        <v>43</v>
      </c>
      <c r="T229" s="811" t="s">
        <v>35</v>
      </c>
      <c r="U229" s="452"/>
      <c r="V229" s="2333"/>
      <c r="W229" s="92" t="s">
        <v>174</v>
      </c>
      <c r="X229" s="583" t="s">
        <v>1187</v>
      </c>
      <c r="Y229" s="1016">
        <f>((10.5*$R$224)+(500000*$R$225)+$R$226+$R$228+$R$230+$T$231)*(1+$T$233)</f>
        <v>43976.329863627914</v>
      </c>
      <c r="Z229" s="973">
        <f>Y229-Y228</f>
        <v>1942.2699744000056</v>
      </c>
      <c r="AA229" s="977">
        <f>(10.5-9.8)*$P$224</f>
        <v>803.18503299999907</v>
      </c>
      <c r="AB229" s="978"/>
      <c r="AC229" s="525"/>
      <c r="AD229" s="524"/>
      <c r="AE229" s="525"/>
      <c r="AF229" s="757"/>
      <c r="AG229" s="525"/>
      <c r="AH229" s="1024"/>
      <c r="AI229" s="477"/>
      <c r="AJ229" s="477"/>
      <c r="AK229" s="477"/>
      <c r="AL229" s="477"/>
      <c r="AM229" s="477"/>
      <c r="AN229" s="477"/>
      <c r="AO229" s="477"/>
      <c r="AP229" s="477"/>
      <c r="AQ229" s="477"/>
      <c r="AR229" s="477"/>
      <c r="AS229" s="477"/>
      <c r="AT229" s="477"/>
      <c r="AU229" s="477"/>
      <c r="AV229" s="477"/>
      <c r="AW229" s="477"/>
      <c r="AX229" s="477"/>
      <c r="AY229" s="477"/>
      <c r="AZ229" s="477"/>
      <c r="BA229" s="477"/>
      <c r="BB229" s="477"/>
      <c r="BC229" s="477"/>
      <c r="BD229" s="477"/>
      <c r="BE229" s="477"/>
      <c r="BF229" s="477"/>
      <c r="BG229" s="477"/>
    </row>
    <row r="230" spans="1:123">
      <c r="A230" s="2337"/>
      <c r="B230" s="2273" t="s">
        <v>1041</v>
      </c>
      <c r="C230" s="2274" t="s">
        <v>862</v>
      </c>
      <c r="D230" s="92" t="s">
        <v>1066</v>
      </c>
      <c r="E230" s="714">
        <v>17</v>
      </c>
      <c r="F230" s="585" t="s">
        <v>35</v>
      </c>
      <c r="G230" s="1023" t="s">
        <v>35</v>
      </c>
      <c r="H230" s="716">
        <v>25236.94</v>
      </c>
      <c r="I230" s="717">
        <v>25925.01</v>
      </c>
      <c r="J230" s="718" t="s">
        <v>35</v>
      </c>
      <c r="K230" s="719" t="s">
        <v>35</v>
      </c>
      <c r="L230" s="718" t="s">
        <v>35</v>
      </c>
      <c r="M230" s="719" t="s">
        <v>35</v>
      </c>
      <c r="N230" s="575">
        <v>-65.424660000000003</v>
      </c>
      <c r="O230" s="594">
        <v>-0.03</v>
      </c>
      <c r="P230" s="594">
        <v>2399.1318000000001</v>
      </c>
      <c r="Q230" s="486">
        <f>E230/SUM($E$230:$E$232)</f>
        <v>0.39534883720930231</v>
      </c>
      <c r="R230" s="2289">
        <f>SUMPRODUCT(Q230:Q232,N230:N232)</f>
        <v>1351.360786744186</v>
      </c>
      <c r="S230" s="587" t="s">
        <v>876</v>
      </c>
      <c r="T230" s="592" t="s">
        <v>877</v>
      </c>
      <c r="U230" s="560"/>
      <c r="V230" s="2333"/>
      <c r="W230" s="92" t="s">
        <v>174</v>
      </c>
      <c r="X230" s="92" t="s">
        <v>1188</v>
      </c>
      <c r="Y230" s="1016">
        <f>((10.8*$R$224)+(500000*$R$225)+$R$226+$R$228+$R$230+$T$231)*(1+$T$233)</f>
        <v>44808.731281227912</v>
      </c>
      <c r="Z230" s="973">
        <f>Y230-Y228</f>
        <v>2774.6713920000038</v>
      </c>
      <c r="AA230" s="977">
        <f>(10.8-9.8)*$P$224</f>
        <v>1147.4071899999999</v>
      </c>
      <c r="AB230" s="978"/>
      <c r="AC230" s="525"/>
      <c r="AD230" s="524"/>
      <c r="AE230" s="525"/>
      <c r="AF230" s="757"/>
      <c r="AG230" s="525"/>
      <c r="AH230" s="477"/>
      <c r="AI230" s="477"/>
      <c r="AJ230" s="477"/>
      <c r="AK230" s="477"/>
      <c r="AL230" s="477"/>
      <c r="AM230" s="477"/>
      <c r="AN230" s="477"/>
      <c r="AO230" s="477"/>
      <c r="AP230" s="477"/>
      <c r="AQ230" s="477"/>
      <c r="AR230" s="477"/>
      <c r="AS230" s="477"/>
      <c r="AT230" s="477"/>
      <c r="AU230" s="477"/>
      <c r="AV230" s="477"/>
      <c r="AW230" s="477"/>
      <c r="AX230" s="477"/>
      <c r="AY230" s="477"/>
      <c r="AZ230" s="477"/>
      <c r="BA230" s="477"/>
      <c r="BB230" s="477"/>
      <c r="BC230" s="477"/>
      <c r="BD230" s="477"/>
      <c r="BE230" s="477"/>
      <c r="BF230" s="477"/>
      <c r="BG230" s="477"/>
    </row>
    <row r="231" spans="1:123">
      <c r="A231" s="2337"/>
      <c r="B231" s="2273"/>
      <c r="C231" s="2274"/>
      <c r="D231" s="92" t="s">
        <v>1189</v>
      </c>
      <c r="E231" s="714">
        <v>9</v>
      </c>
      <c r="F231" s="585" t="s">
        <v>35</v>
      </c>
      <c r="G231" s="1023" t="s">
        <v>35</v>
      </c>
      <c r="H231" s="716">
        <v>64166.67</v>
      </c>
      <c r="I231" s="717">
        <v>29815.05</v>
      </c>
      <c r="J231" s="718" t="s">
        <v>35</v>
      </c>
      <c r="K231" s="719" t="s">
        <v>35</v>
      </c>
      <c r="L231" s="718" t="s">
        <v>35</v>
      </c>
      <c r="M231" s="719" t="s">
        <v>35</v>
      </c>
      <c r="N231" s="575">
        <v>6580.0814499999997</v>
      </c>
      <c r="O231" s="594">
        <v>1.79</v>
      </c>
      <c r="P231" s="594">
        <v>3669.40542</v>
      </c>
      <c r="Q231" s="486">
        <f>E231/SUM($E$230:$E$232)</f>
        <v>0.20930232558139536</v>
      </c>
      <c r="R231" s="2329"/>
      <c r="S231" s="568">
        <v>0.98180900000000004</v>
      </c>
      <c r="T231" s="997">
        <v>-26554.806430000001</v>
      </c>
      <c r="U231" s="998"/>
      <c r="V231" s="2333"/>
      <c r="W231" s="92" t="s">
        <v>174</v>
      </c>
      <c r="X231" s="92" t="s">
        <v>1190</v>
      </c>
      <c r="Y231" s="1016">
        <f>((9.8*$R$224)+(500000*$R$225)+$R$226+$R$228+$R$230+$T$231)*(1+$T$233)</f>
        <v>42034.059889227909</v>
      </c>
      <c r="Z231" s="973">
        <f>Y231-Y228</f>
        <v>0</v>
      </c>
      <c r="AA231" s="977">
        <f>(9.8-9.8)*$P$224</f>
        <v>0</v>
      </c>
      <c r="AB231" s="978"/>
      <c r="AC231" s="525"/>
      <c r="AD231" s="524"/>
      <c r="AE231" s="525"/>
      <c r="AF231" s="757"/>
      <c r="AG231" s="525"/>
      <c r="AH231" s="477"/>
      <c r="AI231" s="477"/>
      <c r="AJ231" s="477"/>
      <c r="AK231" s="477"/>
      <c r="AL231" s="477"/>
      <c r="AM231" s="477"/>
      <c r="AN231" s="477"/>
      <c r="AO231" s="477"/>
      <c r="AP231" s="477"/>
      <c r="AQ231" s="477"/>
      <c r="AR231" s="477"/>
      <c r="AS231" s="477"/>
      <c r="AT231" s="477"/>
      <c r="AU231" s="477"/>
      <c r="AV231" s="477"/>
      <c r="AW231" s="477"/>
      <c r="AX231" s="477"/>
      <c r="AY231" s="477"/>
      <c r="AZ231" s="477"/>
      <c r="BA231" s="477"/>
      <c r="BB231" s="477"/>
      <c r="BC231" s="477"/>
      <c r="BD231" s="477"/>
      <c r="BE231" s="477"/>
      <c r="BF231" s="477"/>
      <c r="BG231" s="477"/>
    </row>
    <row r="232" spans="1:123">
      <c r="A232" s="2337"/>
      <c r="B232" s="2273"/>
      <c r="C232" s="2274"/>
      <c r="D232" s="92" t="s">
        <v>1158</v>
      </c>
      <c r="E232" s="714">
        <v>17</v>
      </c>
      <c r="F232" s="585" t="s">
        <v>35</v>
      </c>
      <c r="G232" s="1023" t="s">
        <v>35</v>
      </c>
      <c r="H232" s="716">
        <v>12199.47</v>
      </c>
      <c r="I232" s="717">
        <v>5653.25</v>
      </c>
      <c r="J232" s="718" t="s">
        <v>35</v>
      </c>
      <c r="K232" s="719" t="s">
        <v>35</v>
      </c>
      <c r="L232" s="718" t="s">
        <v>35</v>
      </c>
      <c r="M232" s="719" t="s">
        <v>35</v>
      </c>
      <c r="N232" s="575">
        <v>0</v>
      </c>
      <c r="O232" s="594" t="s">
        <v>847</v>
      </c>
      <c r="P232" s="594" t="s">
        <v>847</v>
      </c>
      <c r="Q232" s="486">
        <f>E232/SUM($E$230:$E$232)</f>
        <v>0.39534883720930231</v>
      </c>
      <c r="R232" s="2329"/>
      <c r="S232" s="601" t="s">
        <v>883</v>
      </c>
      <c r="T232" s="511" t="s">
        <v>884</v>
      </c>
      <c r="U232" s="470"/>
      <c r="V232" s="2333"/>
      <c r="W232" s="92" t="s">
        <v>175</v>
      </c>
      <c r="X232" s="92" t="s">
        <v>1191</v>
      </c>
      <c r="Y232" s="1016">
        <f>((11*$R$224)+(77000*$R$225)+$R$226+$R$228+$R$230+$T$231)*(1+$T$233)</f>
        <v>4816.5775596279154</v>
      </c>
      <c r="Z232" s="563" t="s">
        <v>918</v>
      </c>
      <c r="AA232" s="977" t="s">
        <v>918</v>
      </c>
      <c r="AB232" s="978"/>
      <c r="AC232" s="525"/>
      <c r="AD232" s="524"/>
      <c r="AE232" s="525"/>
      <c r="AF232" s="757"/>
      <c r="AG232" s="525"/>
      <c r="AH232" s="477"/>
      <c r="AI232" s="477"/>
      <c r="AJ232" s="477"/>
      <c r="AK232" s="477"/>
      <c r="AL232" s="477"/>
      <c r="AM232" s="477"/>
      <c r="AN232" s="477"/>
      <c r="AO232" s="477"/>
      <c r="AP232" s="477"/>
      <c r="AQ232" s="477"/>
      <c r="AR232" s="477"/>
      <c r="AS232" s="477"/>
      <c r="AT232" s="477"/>
      <c r="AU232" s="477"/>
      <c r="AV232" s="477"/>
      <c r="AW232" s="477"/>
      <c r="AX232" s="477"/>
      <c r="AY232" s="477"/>
      <c r="AZ232" s="477"/>
      <c r="BA232" s="477"/>
      <c r="BB232" s="477"/>
      <c r="BC232" s="477"/>
      <c r="BD232" s="477"/>
      <c r="BE232" s="477"/>
      <c r="BF232" s="477"/>
      <c r="BG232" s="477"/>
    </row>
    <row r="233" spans="1:123">
      <c r="A233" s="2337"/>
      <c r="B233" s="566" t="s">
        <v>1097</v>
      </c>
      <c r="C233" s="567" t="s">
        <v>853</v>
      </c>
      <c r="D233" s="743" t="s">
        <v>35</v>
      </c>
      <c r="E233" s="743" t="s">
        <v>35</v>
      </c>
      <c r="F233" s="743" t="s">
        <v>35</v>
      </c>
      <c r="G233" s="1025" t="s">
        <v>35</v>
      </c>
      <c r="H233" s="743" t="s">
        <v>35</v>
      </c>
      <c r="I233" s="719" t="s">
        <v>35</v>
      </c>
      <c r="J233" s="818" t="s">
        <v>853</v>
      </c>
      <c r="K233" s="999" t="s">
        <v>1192</v>
      </c>
      <c r="L233" s="718" t="s">
        <v>35</v>
      </c>
      <c r="M233" s="719" t="s">
        <v>35</v>
      </c>
      <c r="N233" s="1026" t="s">
        <v>35</v>
      </c>
      <c r="O233" s="1027" t="s">
        <v>35</v>
      </c>
      <c r="P233" s="1027" t="s">
        <v>35</v>
      </c>
      <c r="Q233" s="577" t="s">
        <v>35</v>
      </c>
      <c r="R233" s="577" t="s">
        <v>35</v>
      </c>
      <c r="S233" s="568">
        <v>2801.7689999999998</v>
      </c>
      <c r="T233" s="671">
        <v>0.2</v>
      </c>
      <c r="U233" s="603"/>
      <c r="V233" s="2333"/>
      <c r="W233" s="92" t="s">
        <v>174</v>
      </c>
      <c r="X233" s="92" t="s">
        <v>1193</v>
      </c>
      <c r="Y233" s="1016">
        <f>((11*$R$224)+(77000*$R$225)+$R$226+$R$228+$R$230+$T$231)*(1+$T$233)</f>
        <v>4816.5775596279154</v>
      </c>
      <c r="Z233" s="973">
        <f>Y233-Y232</f>
        <v>0</v>
      </c>
      <c r="AA233" s="977">
        <f>(11-11)*$P$224</f>
        <v>0</v>
      </c>
      <c r="AB233" s="978"/>
      <c r="AC233" s="525"/>
      <c r="AD233" s="524"/>
      <c r="AE233" s="525"/>
      <c r="AF233" s="757"/>
      <c r="AG233" s="525"/>
      <c r="AH233" s="477"/>
      <c r="AI233" s="477"/>
      <c r="AJ233" s="477"/>
      <c r="AK233" s="477"/>
      <c r="AL233" s="477"/>
      <c r="AM233" s="477"/>
      <c r="AN233" s="477"/>
      <c r="AO233" s="477"/>
      <c r="AP233" s="477"/>
      <c r="AQ233" s="477"/>
      <c r="AR233" s="477"/>
      <c r="AS233" s="477"/>
      <c r="AT233" s="477"/>
      <c r="AU233" s="477"/>
      <c r="AV233" s="477"/>
      <c r="AW233" s="477"/>
      <c r="AX233" s="477"/>
      <c r="AY233" s="477"/>
      <c r="AZ233" s="477"/>
      <c r="BA233" s="477"/>
      <c r="BB233" s="477"/>
      <c r="BC233" s="477"/>
      <c r="BD233" s="477"/>
      <c r="BE233" s="477"/>
      <c r="BF233" s="477"/>
      <c r="BG233" s="477"/>
    </row>
    <row r="234" spans="1:123">
      <c r="A234" s="2337"/>
      <c r="B234" s="566" t="s">
        <v>1173</v>
      </c>
      <c r="C234" s="567" t="s">
        <v>853</v>
      </c>
      <c r="D234" s="743" t="s">
        <v>35</v>
      </c>
      <c r="E234" s="743" t="s">
        <v>35</v>
      </c>
      <c r="F234" s="743" t="s">
        <v>35</v>
      </c>
      <c r="G234" s="1025" t="s">
        <v>35</v>
      </c>
      <c r="H234" s="743" t="s">
        <v>35</v>
      </c>
      <c r="I234" s="719" t="s">
        <v>35</v>
      </c>
      <c r="J234" s="818" t="s">
        <v>853</v>
      </c>
      <c r="K234" s="999" t="s">
        <v>1194</v>
      </c>
      <c r="L234" s="718" t="s">
        <v>35</v>
      </c>
      <c r="M234" s="719" t="s">
        <v>35</v>
      </c>
      <c r="N234" s="1026" t="s">
        <v>35</v>
      </c>
      <c r="O234" s="1027" t="s">
        <v>35</v>
      </c>
      <c r="P234" s="1027" t="s">
        <v>35</v>
      </c>
      <c r="Q234" s="577" t="s">
        <v>35</v>
      </c>
      <c r="R234" s="577" t="s">
        <v>35</v>
      </c>
      <c r="S234" s="525"/>
      <c r="T234" s="525"/>
      <c r="V234" s="2333"/>
      <c r="W234" s="92" t="s">
        <v>174</v>
      </c>
      <c r="X234" s="92" t="s">
        <v>1195</v>
      </c>
      <c r="Y234" s="1016">
        <f>((11.5*$R$224)+(77000*$R$225)+$R$226+$R$228+$R$230+$T$231)*(1+$T$233)</f>
        <v>6203.9132556279101</v>
      </c>
      <c r="Z234" s="973">
        <f>Y234-Y232</f>
        <v>1387.3356959999946</v>
      </c>
      <c r="AA234" s="977">
        <f>(11.5-11)*$P$224</f>
        <v>573.70359499999995</v>
      </c>
      <c r="AB234" s="978"/>
      <c r="AC234" s="525"/>
      <c r="AD234" s="524"/>
      <c r="AE234" s="525"/>
      <c r="AF234" s="757"/>
      <c r="AG234" s="525"/>
      <c r="AH234" s="477"/>
      <c r="AI234" s="477"/>
      <c r="AJ234" s="477"/>
      <c r="AK234" s="477"/>
      <c r="AL234" s="477"/>
      <c r="AM234" s="477"/>
      <c r="AN234" s="477"/>
      <c r="AO234" s="477"/>
      <c r="AP234" s="477"/>
      <c r="AQ234" s="477"/>
      <c r="AR234" s="477"/>
      <c r="AS234" s="477"/>
      <c r="AT234" s="477"/>
      <c r="AU234" s="477"/>
      <c r="AV234" s="477"/>
      <c r="AW234" s="477"/>
      <c r="AX234" s="477"/>
      <c r="AY234" s="477"/>
      <c r="AZ234" s="477"/>
      <c r="BA234" s="477"/>
      <c r="BB234" s="477"/>
      <c r="BC234" s="477"/>
      <c r="BD234" s="477"/>
      <c r="BE234" s="477"/>
      <c r="BF234" s="477"/>
      <c r="BG234" s="477"/>
    </row>
    <row r="235" spans="1:123">
      <c r="A235" s="2337"/>
      <c r="B235" s="566" t="s">
        <v>1196</v>
      </c>
      <c r="C235" s="567" t="s">
        <v>853</v>
      </c>
      <c r="D235" s="743" t="s">
        <v>35</v>
      </c>
      <c r="E235" s="743" t="s">
        <v>35</v>
      </c>
      <c r="F235" s="743" t="s">
        <v>35</v>
      </c>
      <c r="G235" s="1025" t="s">
        <v>35</v>
      </c>
      <c r="H235" s="743" t="s">
        <v>35</v>
      </c>
      <c r="I235" s="719" t="s">
        <v>35</v>
      </c>
      <c r="J235" s="818" t="s">
        <v>853</v>
      </c>
      <c r="K235" s="999" t="s">
        <v>1197</v>
      </c>
      <c r="L235" s="718" t="s">
        <v>35</v>
      </c>
      <c r="M235" s="719" t="s">
        <v>35</v>
      </c>
      <c r="N235" s="1026" t="s">
        <v>35</v>
      </c>
      <c r="O235" s="1027" t="s">
        <v>35</v>
      </c>
      <c r="P235" s="1027" t="s">
        <v>35</v>
      </c>
      <c r="Q235" s="577" t="s">
        <v>35</v>
      </c>
      <c r="R235" s="577" t="s">
        <v>35</v>
      </c>
      <c r="S235" s="525"/>
      <c r="T235" s="525"/>
      <c r="V235" s="2333"/>
      <c r="W235" s="92" t="s">
        <v>174</v>
      </c>
      <c r="X235" s="92" t="s">
        <v>1198</v>
      </c>
      <c r="Y235" s="1016">
        <f>((12*$R$224)+(77000*$R$225)+$R$226+$R$228+$R$230+$T$231)*(1+$T$233)</f>
        <v>7591.2489516279093</v>
      </c>
      <c r="Z235" s="973">
        <f>Y235-Y232</f>
        <v>2774.6713919999938</v>
      </c>
      <c r="AA235" s="977">
        <f>(12-11)*$P$224</f>
        <v>1147.4071899999999</v>
      </c>
      <c r="AB235" s="978"/>
      <c r="AC235" s="525"/>
      <c r="AD235" s="524"/>
      <c r="AE235" s="525"/>
      <c r="AF235" s="757"/>
      <c r="AG235" s="525"/>
      <c r="AH235" s="477"/>
      <c r="AI235" s="477"/>
      <c r="AJ235" s="477"/>
      <c r="AK235" s="477"/>
      <c r="AL235" s="477"/>
      <c r="AM235" s="477"/>
      <c r="AN235" s="477"/>
      <c r="AO235" s="477"/>
      <c r="AP235" s="477"/>
      <c r="AQ235" s="477"/>
      <c r="AR235" s="477"/>
      <c r="AS235" s="477"/>
      <c r="AT235" s="477"/>
      <c r="AU235" s="477"/>
      <c r="AV235" s="477"/>
      <c r="AW235" s="477"/>
      <c r="AX235" s="477"/>
      <c r="AY235" s="477"/>
      <c r="AZ235" s="477"/>
      <c r="BA235" s="477"/>
      <c r="BB235" s="477"/>
      <c r="BC235" s="477"/>
      <c r="BD235" s="477"/>
      <c r="BE235" s="477"/>
      <c r="BF235" s="477"/>
      <c r="BG235" s="477"/>
    </row>
    <row r="236" spans="1:123" ht="15" customHeight="1">
      <c r="A236" s="2337"/>
      <c r="B236" s="2307" t="s">
        <v>1021</v>
      </c>
      <c r="C236" s="515"/>
      <c r="D236" s="525"/>
      <c r="E236" s="525"/>
      <c r="F236" s="525"/>
      <c r="G236" s="525"/>
      <c r="H236" s="525"/>
      <c r="I236" s="525"/>
      <c r="J236" s="1028"/>
      <c r="K236" s="1029"/>
      <c r="L236" s="757"/>
      <c r="M236" s="525"/>
      <c r="N236" s="822"/>
      <c r="O236" s="823"/>
      <c r="P236" s="823"/>
      <c r="Q236" s="605"/>
      <c r="R236" s="1030"/>
      <c r="S236" s="525"/>
      <c r="T236" s="525"/>
      <c r="V236" s="2333"/>
      <c r="W236" s="92" t="s">
        <v>175</v>
      </c>
      <c r="X236" s="92" t="s">
        <v>1199</v>
      </c>
      <c r="Y236" s="1016">
        <f>((11*$R$224)+(112000*$R$225)+$R$226+$R$228+$R$230+$T$231)*(1+$T$233)</f>
        <v>8171.5375596279055</v>
      </c>
      <c r="Z236" s="563" t="s">
        <v>918</v>
      </c>
      <c r="AA236" s="977" t="s">
        <v>918</v>
      </c>
      <c r="AB236" s="978"/>
      <c r="AC236" s="525"/>
      <c r="AD236" s="524"/>
      <c r="AE236" s="525"/>
      <c r="AF236" s="757"/>
      <c r="AG236" s="525"/>
      <c r="AH236" s="477"/>
      <c r="AI236" s="477"/>
      <c r="AJ236" s="477"/>
      <c r="AK236" s="477"/>
      <c r="AL236" s="477"/>
      <c r="AM236" s="477"/>
      <c r="AN236" s="477"/>
      <c r="AO236" s="477"/>
      <c r="AP236" s="477"/>
      <c r="AQ236" s="477"/>
      <c r="AR236" s="477"/>
      <c r="AS236" s="477"/>
      <c r="AT236" s="477"/>
      <c r="AU236" s="477"/>
      <c r="AV236" s="477"/>
      <c r="AW236" s="477"/>
      <c r="AX236" s="477"/>
      <c r="AY236" s="477"/>
      <c r="AZ236" s="477"/>
      <c r="BA236" s="477"/>
      <c r="BB236" s="477"/>
      <c r="BC236" s="477"/>
      <c r="BD236" s="477"/>
      <c r="BE236" s="477"/>
      <c r="BF236" s="477"/>
      <c r="BG236" s="477"/>
    </row>
    <row r="237" spans="1:123">
      <c r="A237" s="2337"/>
      <c r="B237" s="2308"/>
      <c r="C237" s="515"/>
      <c r="D237" s="525"/>
      <c r="E237" s="525"/>
      <c r="F237" s="525"/>
      <c r="G237" s="525"/>
      <c r="H237" s="525"/>
      <c r="I237" s="525"/>
      <c r="J237" s="1028"/>
      <c r="K237" s="1029"/>
      <c r="L237" s="757"/>
      <c r="M237" s="525"/>
      <c r="N237" s="822"/>
      <c r="O237" s="823"/>
      <c r="P237" s="823"/>
      <c r="Q237" s="605"/>
      <c r="R237" s="1030"/>
      <c r="S237" s="525"/>
      <c r="T237" s="525"/>
      <c r="V237" s="2333"/>
      <c r="W237" s="92" t="s">
        <v>174</v>
      </c>
      <c r="X237" s="92" t="s">
        <v>1200</v>
      </c>
      <c r="Y237" s="1016">
        <f>((11*$R$224)+(112000*$R$225)+$R$226+$R$228+$R$230+$T$231)*(1+$T$233)</f>
        <v>8171.5375596279055</v>
      </c>
      <c r="Z237" s="973">
        <f>Y237-Y236</f>
        <v>0</v>
      </c>
      <c r="AA237" s="977">
        <f>(11-11)*$P$224</f>
        <v>0</v>
      </c>
      <c r="AB237" s="978"/>
      <c r="AC237" s="525"/>
      <c r="AD237" s="524"/>
      <c r="AE237" s="525"/>
      <c r="AF237" s="757"/>
      <c r="AG237" s="525"/>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7"/>
      <c r="BC237" s="477"/>
      <c r="BD237" s="477"/>
      <c r="BE237" s="477"/>
      <c r="BF237" s="477"/>
      <c r="BG237" s="477"/>
    </row>
    <row r="238" spans="1:123">
      <c r="A238" s="2337"/>
      <c r="B238" s="2308"/>
      <c r="C238" s="515"/>
      <c r="D238" s="525"/>
      <c r="E238" s="525"/>
      <c r="F238" s="525"/>
      <c r="G238" s="525"/>
      <c r="H238" s="525"/>
      <c r="I238" s="525"/>
      <c r="J238" s="1028"/>
      <c r="K238" s="1029"/>
      <c r="L238" s="757"/>
      <c r="M238" s="525"/>
      <c r="N238" s="822"/>
      <c r="O238" s="823"/>
      <c r="P238" s="823"/>
      <c r="Q238" s="605"/>
      <c r="R238" s="1030"/>
      <c r="S238" s="525"/>
      <c r="T238" s="525"/>
      <c r="V238" s="2333"/>
      <c r="W238" s="92" t="s">
        <v>174</v>
      </c>
      <c r="X238" s="92" t="s">
        <v>1201</v>
      </c>
      <c r="Y238" s="1016">
        <f>((11.5*$R$224)+(112000*$R$225)+$R$226+$R$228+$R$230+$T$231)*(1+$T$233)</f>
        <v>9558.8732556279174</v>
      </c>
      <c r="Z238" s="973">
        <f>Y238-Y236</f>
        <v>1387.3356960000119</v>
      </c>
      <c r="AA238" s="977">
        <f>(11.5-11)*$P$224</f>
        <v>573.70359499999995</v>
      </c>
      <c r="AB238" s="978"/>
      <c r="AC238" s="525"/>
      <c r="AD238" s="524"/>
      <c r="AE238" s="525"/>
      <c r="AF238" s="757"/>
      <c r="AG238" s="525"/>
      <c r="AH238" s="477"/>
      <c r="AI238" s="477"/>
      <c r="AJ238" s="477"/>
      <c r="AK238" s="477"/>
      <c r="AL238" s="477"/>
      <c r="AM238" s="477"/>
      <c r="AN238" s="477"/>
      <c r="AO238" s="477"/>
      <c r="AP238" s="477"/>
      <c r="AQ238" s="477"/>
      <c r="AR238" s="477"/>
      <c r="AS238" s="477"/>
      <c r="AT238" s="477"/>
      <c r="AU238" s="477"/>
      <c r="AV238" s="477"/>
      <c r="AW238" s="477"/>
      <c r="AX238" s="477"/>
      <c r="AY238" s="477"/>
      <c r="AZ238" s="477"/>
      <c r="BA238" s="477"/>
      <c r="BB238" s="477"/>
      <c r="BC238" s="477"/>
      <c r="BD238" s="477"/>
      <c r="BE238" s="477"/>
      <c r="BF238" s="477"/>
      <c r="BG238" s="477"/>
    </row>
    <row r="239" spans="1:123">
      <c r="A239" s="2337"/>
      <c r="B239" s="2308"/>
      <c r="C239" s="515"/>
      <c r="D239" s="525"/>
      <c r="E239" s="525"/>
      <c r="F239" s="525"/>
      <c r="G239" s="525"/>
      <c r="H239" s="525"/>
      <c r="I239" s="525"/>
      <c r="J239" s="1028"/>
      <c r="K239" s="1029"/>
      <c r="L239" s="757"/>
      <c r="M239" s="525"/>
      <c r="N239" s="822"/>
      <c r="O239" s="823"/>
      <c r="P239" s="823"/>
      <c r="Q239" s="605"/>
      <c r="R239" s="1030"/>
      <c r="S239" s="525"/>
      <c r="T239" s="525"/>
      <c r="V239" s="2333"/>
      <c r="W239" s="92" t="s">
        <v>174</v>
      </c>
      <c r="X239" s="92" t="s">
        <v>1202</v>
      </c>
      <c r="Y239" s="1016">
        <f>((12*$R$224)+(112000*$R$225)+$R$226+$R$228+$R$230+$T$231)*(1+$T$233)</f>
        <v>10946.208951627912</v>
      </c>
      <c r="Z239" s="973">
        <f>Y239-Y236</f>
        <v>2774.6713920000066</v>
      </c>
      <c r="AA239" s="977">
        <f>(12-11)*$P$224</f>
        <v>1147.4071899999999</v>
      </c>
      <c r="AB239" s="978"/>
      <c r="AC239" s="525"/>
      <c r="AD239" s="524"/>
      <c r="AE239" s="525"/>
      <c r="AF239" s="757"/>
      <c r="AG239" s="525"/>
      <c r="AH239" s="477"/>
      <c r="AI239" s="477"/>
      <c r="AJ239" s="477"/>
      <c r="AK239" s="477"/>
      <c r="AL239" s="477"/>
      <c r="AM239" s="477"/>
      <c r="AN239" s="477"/>
      <c r="AO239" s="477"/>
      <c r="AP239" s="477"/>
      <c r="AQ239" s="477"/>
      <c r="AR239" s="477"/>
      <c r="AS239" s="477"/>
      <c r="AT239" s="477"/>
      <c r="AU239" s="477"/>
      <c r="AV239" s="477"/>
      <c r="AW239" s="477"/>
      <c r="AX239" s="477"/>
      <c r="AY239" s="477"/>
      <c r="AZ239" s="477"/>
      <c r="BA239" s="477"/>
      <c r="BB239" s="477"/>
      <c r="BC239" s="477"/>
      <c r="BD239" s="477"/>
      <c r="BE239" s="477"/>
      <c r="BF239" s="477"/>
      <c r="BG239" s="477"/>
    </row>
    <row r="240" spans="1:123">
      <c r="A240" s="2337"/>
      <c r="B240" s="2308"/>
      <c r="C240" s="515"/>
      <c r="D240" s="525"/>
      <c r="E240" s="525"/>
      <c r="F240" s="525"/>
      <c r="G240" s="525"/>
      <c r="H240" s="525"/>
      <c r="I240" s="525"/>
      <c r="J240" s="1028"/>
      <c r="K240" s="1029"/>
      <c r="L240" s="757"/>
      <c r="M240" s="525"/>
      <c r="N240" s="822"/>
      <c r="O240" s="823"/>
      <c r="P240" s="823"/>
      <c r="Q240" s="605"/>
      <c r="R240" s="1030"/>
      <c r="S240" s="525"/>
      <c r="T240" s="525"/>
      <c r="V240" s="2333"/>
      <c r="W240" s="92" t="s">
        <v>175</v>
      </c>
      <c r="X240" s="92" t="s">
        <v>1203</v>
      </c>
      <c r="Y240" s="1016">
        <f>((9.5*$R$224)+(760000*$R$225)+$R$226+$R$228+$R$230+$T$231)*(1+$T$233)</f>
        <v>66124.218471627915</v>
      </c>
      <c r="Z240" s="563" t="s">
        <v>918</v>
      </c>
      <c r="AA240" s="977" t="s">
        <v>918</v>
      </c>
      <c r="AB240" s="978"/>
      <c r="AC240" s="525"/>
      <c r="AD240" s="524"/>
      <c r="AE240" s="525"/>
      <c r="AF240" s="757"/>
      <c r="AG240" s="525"/>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7"/>
      <c r="BC240" s="477"/>
      <c r="BD240" s="477"/>
      <c r="BE240" s="477"/>
      <c r="BF240" s="477"/>
      <c r="BG240" s="477"/>
    </row>
    <row r="241" spans="1:123">
      <c r="A241" s="2337"/>
      <c r="B241" s="2308"/>
      <c r="C241" s="515"/>
      <c r="D241" s="525"/>
      <c r="E241" s="525"/>
      <c r="F241" s="525"/>
      <c r="G241" s="525"/>
      <c r="H241" s="525"/>
      <c r="I241" s="525"/>
      <c r="J241" s="1028"/>
      <c r="K241" s="1029"/>
      <c r="L241" s="757"/>
      <c r="M241" s="525"/>
      <c r="N241" s="822"/>
      <c r="O241" s="823"/>
      <c r="P241" s="823"/>
      <c r="Q241" s="605"/>
      <c r="R241" s="1030"/>
      <c r="S241" s="525"/>
      <c r="T241" s="525"/>
      <c r="V241" s="2333"/>
      <c r="W241" s="92" t="s">
        <v>174</v>
      </c>
      <c r="X241" s="92" t="s">
        <v>1204</v>
      </c>
      <c r="Y241" s="1016">
        <f>((10.2*$R$224)+(760000*$R$225)+$R$226+$R$228+$R$230+$T$231)*(1+$T$233)</f>
        <v>68066.488446027899</v>
      </c>
      <c r="Z241" s="973">
        <f>Y241-Y240</f>
        <v>1942.2699743999838</v>
      </c>
      <c r="AA241" s="977">
        <f>(10.2-9.5)*$P$224</f>
        <v>803.18503299999907</v>
      </c>
      <c r="AB241" s="978"/>
      <c r="AC241" s="525"/>
      <c r="AD241" s="524"/>
      <c r="AE241" s="525"/>
      <c r="AF241" s="757"/>
      <c r="AG241" s="525"/>
      <c r="AH241" s="477"/>
      <c r="AI241" s="477"/>
      <c r="AJ241" s="477"/>
      <c r="AK241" s="477"/>
      <c r="AL241" s="477"/>
      <c r="AM241" s="477"/>
      <c r="AN241" s="477"/>
      <c r="AO241" s="477"/>
      <c r="AP241" s="477"/>
      <c r="AQ241" s="477"/>
      <c r="AR241" s="477"/>
      <c r="AS241" s="477"/>
      <c r="AT241" s="477"/>
      <c r="AU241" s="477"/>
      <c r="AV241" s="477"/>
      <c r="AW241" s="477"/>
      <c r="AX241" s="477"/>
      <c r="AY241" s="477"/>
      <c r="AZ241" s="477"/>
      <c r="BA241" s="477"/>
      <c r="BB241" s="477"/>
      <c r="BC241" s="477"/>
      <c r="BD241" s="477"/>
      <c r="BE241" s="477"/>
      <c r="BF241" s="477"/>
      <c r="BG241" s="477"/>
    </row>
    <row r="242" spans="1:123">
      <c r="A242" s="2337"/>
      <c r="B242" s="2308"/>
      <c r="C242" s="515"/>
      <c r="D242" s="525"/>
      <c r="E242" s="525"/>
      <c r="F242" s="525"/>
      <c r="G242" s="525"/>
      <c r="H242" s="525"/>
      <c r="I242" s="525"/>
      <c r="J242" s="1028"/>
      <c r="K242" s="1029"/>
      <c r="L242" s="757"/>
      <c r="M242" s="525"/>
      <c r="N242" s="822"/>
      <c r="O242" s="823"/>
      <c r="P242" s="823"/>
      <c r="Q242" s="605"/>
      <c r="R242" s="1030"/>
      <c r="S242" s="525"/>
      <c r="T242" s="525"/>
      <c r="V242" s="2333"/>
      <c r="W242" s="92" t="s">
        <v>174</v>
      </c>
      <c r="X242" s="92" t="s">
        <v>1205</v>
      </c>
      <c r="Y242" s="1016">
        <f>((9.5*$R$224)+(760000*$R$225)+$R$226+$R$228+$R$230+$T$231)*(1+$T$233)</f>
        <v>66124.218471627915</v>
      </c>
      <c r="Z242" s="973">
        <f>Y242-Y240</f>
        <v>0</v>
      </c>
      <c r="AA242" s="977">
        <f>(9.5-9.5)*$P$224</f>
        <v>0</v>
      </c>
      <c r="AB242" s="978"/>
      <c r="AC242" s="525"/>
      <c r="AD242" s="524"/>
      <c r="AE242" s="525"/>
      <c r="AF242" s="757"/>
      <c r="AG242" s="525"/>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row>
    <row r="243" spans="1:123" ht="15" thickBot="1">
      <c r="A243" s="2359"/>
      <c r="B243" s="2331"/>
      <c r="C243" s="616"/>
      <c r="D243" s="525"/>
      <c r="E243" s="525"/>
      <c r="F243" s="525"/>
      <c r="G243" s="525"/>
      <c r="H243" s="525"/>
      <c r="I243" s="525"/>
      <c r="J243" s="1031"/>
      <c r="K243" s="1029"/>
      <c r="L243" s="988"/>
      <c r="M243" s="525"/>
      <c r="N243" s="1032"/>
      <c r="O243" s="1033"/>
      <c r="P243" s="1033"/>
      <c r="Q243" s="1034"/>
      <c r="R243" s="1035"/>
      <c r="S243" s="525"/>
      <c r="T243" s="525"/>
      <c r="V243" s="2338"/>
      <c r="W243" s="92" t="s">
        <v>174</v>
      </c>
      <c r="X243" s="92" t="s">
        <v>1206</v>
      </c>
      <c r="Y243" s="1016">
        <f>((9.7*$R$224)+(760000*$R$225)+$R$226+$R$228+$R$230+$T$231)*(1+$T$233)</f>
        <v>66679.152750027904</v>
      </c>
      <c r="Z243" s="973">
        <f>Y243-Y240</f>
        <v>554.93427839998913</v>
      </c>
      <c r="AA243" s="1036">
        <f>(9.7-9.5)*$P$224</f>
        <v>229.48143799999917</v>
      </c>
      <c r="AB243" s="978"/>
      <c r="AC243" s="525"/>
      <c r="AD243" s="675"/>
      <c r="AE243" s="676"/>
      <c r="AF243" s="988"/>
      <c r="AG243" s="525"/>
      <c r="AH243" s="477"/>
      <c r="AI243" s="477"/>
      <c r="AJ243" s="477"/>
      <c r="AK243" s="477"/>
      <c r="AL243" s="477"/>
      <c r="AM243" s="477"/>
      <c r="AN243" s="477"/>
      <c r="AO243" s="477"/>
      <c r="AP243" s="477"/>
      <c r="AQ243" s="477"/>
      <c r="AR243" s="477"/>
      <c r="AS243" s="477"/>
      <c r="AT243" s="477"/>
      <c r="AU243" s="477"/>
      <c r="AV243" s="477"/>
      <c r="AW243" s="477"/>
      <c r="AX243" s="477"/>
      <c r="AY243" s="477"/>
      <c r="AZ243" s="477"/>
      <c r="BA243" s="477"/>
      <c r="BB243" s="477"/>
      <c r="BC243" s="477"/>
      <c r="BD243" s="477"/>
      <c r="BE243" s="477"/>
      <c r="BF243" s="477"/>
      <c r="BG243" s="477"/>
    </row>
    <row r="244" spans="1:123" s="626" customFormat="1" ht="9" customHeight="1" thickBot="1">
      <c r="A244" s="540"/>
      <c r="B244" s="541"/>
      <c r="C244" s="444"/>
      <c r="D244" s="445"/>
      <c r="E244" s="445"/>
      <c r="F244" s="445"/>
      <c r="G244" s="445"/>
      <c r="H244" s="445"/>
      <c r="I244" s="445"/>
      <c r="J244" s="446"/>
      <c r="K244" s="445"/>
      <c r="L244" s="446"/>
      <c r="M244" s="447"/>
      <c r="N244" s="448"/>
      <c r="O244" s="449"/>
      <c r="P244" s="449"/>
      <c r="Q244" s="450"/>
      <c r="R244" s="450"/>
      <c r="S244" s="451"/>
      <c r="T244" s="451"/>
      <c r="U244" s="452"/>
      <c r="V244" s="453"/>
      <c r="W244" s="447"/>
      <c r="X244" s="447"/>
      <c r="Y244" s="451"/>
      <c r="Z244" s="451"/>
      <c r="AA244" s="451"/>
      <c r="AB244" s="454"/>
      <c r="AC244" s="447"/>
      <c r="AD244" s="447"/>
      <c r="AE244" s="447"/>
      <c r="AF244" s="455"/>
      <c r="AG244" s="447"/>
      <c r="AH244" s="653"/>
      <c r="AI244" s="653"/>
      <c r="AJ244" s="653"/>
      <c r="AK244" s="653"/>
      <c r="AL244" s="653"/>
      <c r="AM244" s="456"/>
      <c r="AN244" s="456"/>
      <c r="AO244" s="456"/>
      <c r="AP244" s="456"/>
      <c r="AQ244" s="456"/>
      <c r="AR244" s="456"/>
      <c r="AS244" s="456"/>
      <c r="AT244" s="456"/>
      <c r="AU244" s="456"/>
      <c r="AV244" s="456"/>
      <c r="AW244" s="456"/>
      <c r="AX244" s="456"/>
      <c r="AY244" s="456"/>
      <c r="AZ244" s="456"/>
      <c r="BA244" s="456"/>
      <c r="BB244" s="456"/>
      <c r="BC244" s="456"/>
      <c r="BD244" s="456"/>
      <c r="BE244" s="456"/>
      <c r="BF244" s="456"/>
      <c r="BG244" s="456"/>
      <c r="BH244" s="432"/>
      <c r="CF244" s="542"/>
      <c r="CG244" s="542"/>
      <c r="CH244" s="542"/>
      <c r="CI244" s="542"/>
      <c r="CJ244" s="542"/>
      <c r="CK244" s="542"/>
      <c r="CL244" s="542"/>
      <c r="CM244" s="542"/>
      <c r="CN244" s="542"/>
      <c r="CO244" s="542"/>
      <c r="CP244" s="542"/>
      <c r="CQ244" s="542"/>
      <c r="CR244" s="542"/>
      <c r="CS244" s="542"/>
      <c r="CT244" s="542"/>
      <c r="CU244" s="542"/>
      <c r="CV244" s="542"/>
      <c r="CW244" s="542"/>
      <c r="CX244" s="542"/>
      <c r="CY244" s="542"/>
      <c r="CZ244" s="542"/>
      <c r="DA244" s="542"/>
      <c r="DB244" s="542"/>
      <c r="DC244" s="542"/>
      <c r="DD244" s="542"/>
      <c r="DE244" s="542"/>
      <c r="DF244" s="542"/>
      <c r="DG244" s="542"/>
      <c r="DH244" s="542"/>
      <c r="DI244" s="543"/>
      <c r="DJ244" s="542"/>
      <c r="DK244" s="542"/>
      <c r="DL244" s="542"/>
      <c r="DM244" s="542"/>
      <c r="DN244" s="542"/>
      <c r="DO244" s="542"/>
      <c r="DP244" s="542"/>
      <c r="DQ244" s="542"/>
      <c r="DR244" s="542"/>
      <c r="DS244" s="542"/>
    </row>
    <row r="245" spans="1:123" ht="15" customHeight="1">
      <c r="A245" s="2290" t="s">
        <v>1207</v>
      </c>
      <c r="B245" s="627" t="s">
        <v>1208</v>
      </c>
      <c r="C245" s="654" t="s">
        <v>853</v>
      </c>
      <c r="D245" s="568" t="s">
        <v>1209</v>
      </c>
      <c r="E245" s="714">
        <v>37</v>
      </c>
      <c r="F245" s="971">
        <v>202.35409999999999</v>
      </c>
      <c r="G245" s="971">
        <v>96.027709999999999</v>
      </c>
      <c r="H245" s="716">
        <v>103957.36</v>
      </c>
      <c r="I245" s="717">
        <v>46978.97</v>
      </c>
      <c r="J245" s="989" t="s">
        <v>853</v>
      </c>
      <c r="K245" s="632" t="s">
        <v>987</v>
      </c>
      <c r="L245" s="991" t="s">
        <v>35</v>
      </c>
      <c r="M245" s="1037" t="s">
        <v>35</v>
      </c>
      <c r="N245" s="835">
        <v>504.8886</v>
      </c>
      <c r="O245" s="594">
        <v>40.67</v>
      </c>
      <c r="P245" s="594">
        <v>12.41361</v>
      </c>
      <c r="Q245" s="577" t="s">
        <v>35</v>
      </c>
      <c r="R245" s="486">
        <f>N245</f>
        <v>504.8886</v>
      </c>
      <c r="S245" s="667" t="s">
        <v>841</v>
      </c>
      <c r="T245" s="637" t="s">
        <v>842</v>
      </c>
      <c r="U245" s="560"/>
      <c r="V245" s="2332" t="s">
        <v>843</v>
      </c>
      <c r="W245" s="677" t="s">
        <v>175</v>
      </c>
      <c r="X245" s="1038" t="s">
        <v>1210</v>
      </c>
      <c r="Y245" s="1039" t="s">
        <v>35</v>
      </c>
      <c r="Z245" s="2353" t="s">
        <v>35</v>
      </c>
      <c r="AA245" s="2355" t="s">
        <v>35</v>
      </c>
      <c r="AB245" s="801"/>
      <c r="AC245" s="525"/>
      <c r="AD245" s="975"/>
      <c r="AE245" s="976"/>
      <c r="AF245" s="631" t="s">
        <v>175</v>
      </c>
      <c r="AG245" s="92" t="s">
        <v>1211</v>
      </c>
      <c r="AH245" s="660">
        <f>Y247</f>
        <v>18617.052333249958</v>
      </c>
      <c r="AI245" s="681"/>
      <c r="AJ245" s="681"/>
      <c r="AK245" s="681"/>
      <c r="AL245" s="681"/>
      <c r="AM245" s="477"/>
      <c r="AN245" s="477"/>
      <c r="AO245" s="477"/>
      <c r="AP245" s="477"/>
      <c r="AQ245" s="477"/>
      <c r="AR245" s="477"/>
      <c r="AS245" s="477"/>
      <c r="AT245" s="477"/>
      <c r="AU245" s="477"/>
      <c r="AV245" s="477"/>
      <c r="AW245" s="477"/>
      <c r="AX245" s="477"/>
      <c r="AY245" s="477"/>
      <c r="AZ245" s="477"/>
      <c r="BA245" s="477"/>
      <c r="BB245" s="477"/>
      <c r="BC245" s="477"/>
      <c r="BD245" s="477"/>
      <c r="BE245" s="477"/>
      <c r="BF245" s="477"/>
      <c r="BG245" s="477"/>
    </row>
    <row r="246" spans="1:123" ht="15" customHeight="1">
      <c r="A246" s="2291"/>
      <c r="B246" s="566" t="s">
        <v>1212</v>
      </c>
      <c r="C246" s="567" t="s">
        <v>853</v>
      </c>
      <c r="D246" s="568" t="s">
        <v>1213</v>
      </c>
      <c r="E246" s="714">
        <v>37</v>
      </c>
      <c r="F246" s="971">
        <v>1.1822699999999999</v>
      </c>
      <c r="G246" s="971">
        <v>5.4672999999999999E-2</v>
      </c>
      <c r="H246" s="716">
        <v>103957.36</v>
      </c>
      <c r="I246" s="717">
        <v>46978.97</v>
      </c>
      <c r="J246" s="810" t="s">
        <v>853</v>
      </c>
      <c r="K246" s="574" t="s">
        <v>1214</v>
      </c>
      <c r="L246" s="718" t="s">
        <v>35</v>
      </c>
      <c r="M246" s="719" t="s">
        <v>35</v>
      </c>
      <c r="N246" s="835">
        <v>-113083.37480000001</v>
      </c>
      <c r="O246" s="594">
        <v>-5.19</v>
      </c>
      <c r="P246" s="594">
        <v>21774.981100000001</v>
      </c>
      <c r="Q246" s="577" t="s">
        <v>35</v>
      </c>
      <c r="R246" s="486">
        <f>N246</f>
        <v>-113083.37480000001</v>
      </c>
      <c r="S246" s="178" t="s">
        <v>1135</v>
      </c>
      <c r="T246" s="494" t="s">
        <v>1065</v>
      </c>
      <c r="U246" s="591"/>
      <c r="V246" s="2333"/>
      <c r="W246" s="92" t="s">
        <v>174</v>
      </c>
      <c r="X246" s="1040" t="s">
        <v>1215</v>
      </c>
      <c r="Y246" s="743" t="s">
        <v>35</v>
      </c>
      <c r="Z246" s="2354"/>
      <c r="AA246" s="2356"/>
      <c r="AB246" s="801"/>
      <c r="AC246" s="525"/>
      <c r="AD246" s="524"/>
      <c r="AE246" s="525"/>
      <c r="AF246" s="573" t="s">
        <v>174</v>
      </c>
      <c r="AG246" s="92" t="s">
        <v>1216</v>
      </c>
      <c r="AH246" s="660">
        <f>Y248</f>
        <v>54238.315395249992</v>
      </c>
      <c r="AI246" s="681"/>
      <c r="AJ246" s="681">
        <f>488*50</f>
        <v>24400</v>
      </c>
      <c r="AK246" s="681">
        <f>552.09* 50</f>
        <v>27604.5</v>
      </c>
      <c r="AL246" s="681"/>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row>
    <row r="247" spans="1:123" ht="15" customHeight="1">
      <c r="A247" s="2291"/>
      <c r="B247" s="2348" t="s">
        <v>1217</v>
      </c>
      <c r="C247" s="2287" t="s">
        <v>862</v>
      </c>
      <c r="D247" s="568" t="s">
        <v>1218</v>
      </c>
      <c r="E247" s="714">
        <v>23</v>
      </c>
      <c r="F247" s="585" t="s">
        <v>35</v>
      </c>
      <c r="G247" s="585" t="s">
        <v>35</v>
      </c>
      <c r="H247" s="716">
        <v>123724.89</v>
      </c>
      <c r="I247" s="717">
        <v>41052.519999999997</v>
      </c>
      <c r="J247" s="2352" t="s">
        <v>862</v>
      </c>
      <c r="K247" s="574" t="s">
        <v>1218</v>
      </c>
      <c r="L247" s="718" t="s">
        <v>35</v>
      </c>
      <c r="M247" s="719" t="s">
        <v>35</v>
      </c>
      <c r="N247" s="835">
        <v>0</v>
      </c>
      <c r="O247" s="594" t="s">
        <v>847</v>
      </c>
      <c r="P247" s="594" t="s">
        <v>847</v>
      </c>
      <c r="Q247" s="577" t="s">
        <v>35</v>
      </c>
      <c r="R247" s="486">
        <f>N247</f>
        <v>0</v>
      </c>
      <c r="S247" s="667" t="s">
        <v>858</v>
      </c>
      <c r="T247" s="511" t="s">
        <v>859</v>
      </c>
      <c r="U247" s="470"/>
      <c r="V247" s="2333"/>
      <c r="W247" s="92" t="s">
        <v>175</v>
      </c>
      <c r="X247" s="92" t="s">
        <v>1211</v>
      </c>
      <c r="Y247" s="992">
        <f>((50*$R$245)+($R$246*1.26)+$R$247+$R$250+$T$252)*(1+$T$254)</f>
        <v>18617.052333249958</v>
      </c>
      <c r="Z247" s="2341">
        <f>Y248-Y247</f>
        <v>35621.263062000035</v>
      </c>
      <c r="AA247" s="2342">
        <f>(1.26-1.008)*$P$246</f>
        <v>5487.2952372</v>
      </c>
      <c r="AB247" s="907"/>
      <c r="AC247" s="525"/>
      <c r="AD247" s="524"/>
      <c r="AE247" s="525"/>
      <c r="AF247" s="573" t="s">
        <v>175</v>
      </c>
      <c r="AG247" s="1041" t="s">
        <v>1219</v>
      </c>
      <c r="AH247" s="660">
        <f>Y251</f>
        <v>52820.089708249958</v>
      </c>
      <c r="AI247" s="2339">
        <f>50000*1.25</f>
        <v>62500</v>
      </c>
      <c r="AJ247" s="681"/>
      <c r="AK247" s="681"/>
      <c r="AL247" s="681"/>
      <c r="AM247" s="477"/>
      <c r="AN247" s="477"/>
      <c r="AO247" s="477"/>
      <c r="AP247" s="477"/>
      <c r="AQ247" s="477"/>
      <c r="AR247" s="477"/>
      <c r="AS247" s="477"/>
      <c r="AT247" s="477"/>
      <c r="AU247" s="477"/>
      <c r="AV247" s="477"/>
      <c r="AW247" s="477"/>
      <c r="AX247" s="477"/>
      <c r="AY247" s="477"/>
      <c r="AZ247" s="477"/>
      <c r="BA247" s="477"/>
      <c r="BB247" s="477"/>
      <c r="BC247" s="477"/>
      <c r="BD247" s="477"/>
      <c r="BE247" s="477"/>
      <c r="BF247" s="477"/>
      <c r="BG247" s="477"/>
    </row>
    <row r="248" spans="1:123" ht="15" customHeight="1">
      <c r="A248" s="2291"/>
      <c r="B248" s="2349"/>
      <c r="C248" s="2318"/>
      <c r="D248" s="568" t="s">
        <v>1220</v>
      </c>
      <c r="E248" s="714">
        <v>14</v>
      </c>
      <c r="F248" s="585" t="s">
        <v>35</v>
      </c>
      <c r="G248" s="585" t="s">
        <v>35</v>
      </c>
      <c r="H248" s="716">
        <v>71482.14</v>
      </c>
      <c r="I248" s="717">
        <v>37849.620000000003</v>
      </c>
      <c r="J248" s="2357"/>
      <c r="K248" s="1025" t="s">
        <v>35</v>
      </c>
      <c r="L248" s="718" t="s">
        <v>35</v>
      </c>
      <c r="M248" s="719" t="s">
        <v>35</v>
      </c>
      <c r="N248" s="835">
        <v>2117.9998999999998</v>
      </c>
      <c r="O248" s="594">
        <v>0.77</v>
      </c>
      <c r="P248" s="594">
        <v>2736.4059600000001</v>
      </c>
      <c r="Q248" s="577" t="s">
        <v>35</v>
      </c>
      <c r="R248" s="486">
        <f>N248</f>
        <v>2117.9998999999998</v>
      </c>
      <c r="S248" s="748" t="s">
        <v>1221</v>
      </c>
      <c r="T248" s="987" t="s">
        <v>1019</v>
      </c>
      <c r="U248" s="591"/>
      <c r="V248" s="2333"/>
      <c r="W248" s="92" t="s">
        <v>174</v>
      </c>
      <c r="X248" s="92" t="s">
        <v>1216</v>
      </c>
      <c r="Y248" s="992">
        <f>((50*$R$245)+($R$246*1.008)+$R$247+$R$250+$T$252)*(1+$T$254)</f>
        <v>54238.315395249992</v>
      </c>
      <c r="Z248" s="2341"/>
      <c r="AA248" s="2342"/>
      <c r="AB248" s="907"/>
      <c r="AC248" s="525"/>
      <c r="AD248" s="524"/>
      <c r="AE248" s="525"/>
      <c r="AF248" s="573" t="s">
        <v>174</v>
      </c>
      <c r="AG248" s="1041" t="s">
        <v>1222</v>
      </c>
      <c r="AH248" s="660">
        <f>Y252</f>
        <v>88441.35277024997</v>
      </c>
      <c r="AI248" s="2339"/>
      <c r="AJ248" s="681"/>
      <c r="AK248" s="681"/>
      <c r="AL248" s="681"/>
      <c r="AM248" s="477"/>
      <c r="AN248" s="477"/>
      <c r="AO248" s="477"/>
      <c r="AP248" s="477"/>
      <c r="AQ248" s="477"/>
      <c r="AR248" s="477"/>
      <c r="AS248" s="477"/>
      <c r="AT248" s="477"/>
      <c r="AU248" s="477"/>
      <c r="AV248" s="477"/>
      <c r="AW248" s="477"/>
      <c r="AX248" s="477"/>
      <c r="AY248" s="477"/>
      <c r="AZ248" s="477"/>
      <c r="BA248" s="477"/>
      <c r="BB248" s="477"/>
      <c r="BC248" s="477"/>
      <c r="BD248" s="477"/>
      <c r="BE248" s="477"/>
      <c r="BF248" s="477"/>
      <c r="BG248" s="477"/>
    </row>
    <row r="249" spans="1:123" s="432" customFormat="1" ht="15" customHeight="1">
      <c r="A249" s="2291"/>
      <c r="B249" s="2350"/>
      <c r="C249" s="2299"/>
      <c r="D249" s="1040" t="s">
        <v>1223</v>
      </c>
      <c r="E249" s="585" t="s">
        <v>35</v>
      </c>
      <c r="F249" s="585" t="s">
        <v>35</v>
      </c>
      <c r="G249" s="585" t="s">
        <v>35</v>
      </c>
      <c r="H249" s="585" t="s">
        <v>35</v>
      </c>
      <c r="I249" s="572" t="s">
        <v>35</v>
      </c>
      <c r="J249" s="2358"/>
      <c r="K249" s="999" t="s">
        <v>1223</v>
      </c>
      <c r="L249" s="718" t="s">
        <v>35</v>
      </c>
      <c r="M249" s="719" t="s">
        <v>35</v>
      </c>
      <c r="N249" s="1026" t="s">
        <v>35</v>
      </c>
      <c r="O249" s="1027" t="s">
        <v>35</v>
      </c>
      <c r="P249" s="1027" t="s">
        <v>35</v>
      </c>
      <c r="Q249" s="577" t="s">
        <v>35</v>
      </c>
      <c r="R249" s="577" t="s">
        <v>35</v>
      </c>
      <c r="S249" s="667" t="s">
        <v>868</v>
      </c>
      <c r="T249" s="592" t="s">
        <v>869</v>
      </c>
      <c r="U249" s="560"/>
      <c r="V249" s="2333"/>
      <c r="W249" s="92" t="s">
        <v>175</v>
      </c>
      <c r="X249" s="92" t="s">
        <v>1224</v>
      </c>
      <c r="Y249" s="992">
        <f>((130*$R$245)+($R$246*1.26)+$R$247+$R$250+$T$252)*(1+$T$254)</f>
        <v>69105.912333249958</v>
      </c>
      <c r="Z249" s="2341">
        <f>Y250-Y249</f>
        <v>35621.263062000013</v>
      </c>
      <c r="AA249" s="2342">
        <f>(1.26-1.008)*P246</f>
        <v>5487.2952372</v>
      </c>
      <c r="AB249" s="907"/>
      <c r="AC249" s="525"/>
      <c r="AD249" s="524"/>
      <c r="AE249" s="525"/>
      <c r="AF249" s="573" t="s">
        <v>175</v>
      </c>
      <c r="AG249" s="92" t="s">
        <v>1224</v>
      </c>
      <c r="AH249" s="660">
        <f>Y249</f>
        <v>69105.912333249958</v>
      </c>
      <c r="AI249" s="681"/>
      <c r="AJ249" s="681"/>
      <c r="AK249" s="681"/>
      <c r="AL249" s="2339">
        <v>92571</v>
      </c>
      <c r="AM249" s="477"/>
      <c r="AN249" s="477"/>
      <c r="AO249" s="477"/>
      <c r="AP249" s="477"/>
      <c r="AQ249" s="477"/>
      <c r="AR249" s="477"/>
      <c r="AS249" s="477"/>
      <c r="AT249" s="477"/>
      <c r="AU249" s="477"/>
      <c r="AV249" s="477"/>
      <c r="AW249" s="477"/>
      <c r="AX249" s="477"/>
      <c r="AY249" s="477"/>
      <c r="AZ249" s="477"/>
      <c r="BA249" s="477"/>
      <c r="BB249" s="477"/>
      <c r="BC249" s="477"/>
      <c r="BD249" s="477"/>
      <c r="BE249" s="477"/>
      <c r="BF249" s="477"/>
      <c r="BG249" s="477"/>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433"/>
      <c r="CG249" s="433"/>
      <c r="CH249" s="433"/>
      <c r="CI249" s="433"/>
      <c r="CJ249" s="433"/>
      <c r="CK249" s="433"/>
      <c r="CL249" s="433"/>
      <c r="CM249" s="433"/>
      <c r="CN249" s="433"/>
      <c r="CO249" s="433"/>
      <c r="CP249" s="433"/>
      <c r="CQ249" s="433"/>
      <c r="CR249" s="433"/>
      <c r="CS249" s="433"/>
      <c r="CT249" s="433"/>
      <c r="CU249" s="433"/>
      <c r="CV249" s="433"/>
      <c r="CW249" s="433"/>
      <c r="CX249" s="433"/>
      <c r="CY249" s="433"/>
      <c r="CZ249" s="433"/>
      <c r="DA249" s="433"/>
      <c r="DB249" s="433"/>
      <c r="DC249" s="433"/>
      <c r="DD249" s="433"/>
      <c r="DE249" s="433"/>
      <c r="DF249" s="433"/>
      <c r="DG249" s="433"/>
      <c r="DH249" s="433"/>
      <c r="DI249" s="435"/>
      <c r="DJ249" s="433"/>
      <c r="DK249" s="433"/>
      <c r="DL249" s="433"/>
      <c r="DM249" s="433"/>
      <c r="DN249" s="433"/>
      <c r="DO249" s="433"/>
      <c r="DP249" s="433"/>
      <c r="DQ249" s="433"/>
      <c r="DR249" s="433"/>
      <c r="DS249" s="433"/>
    </row>
    <row r="250" spans="1:123" s="432" customFormat="1" ht="15" customHeight="1">
      <c r="A250" s="2291"/>
      <c r="B250" s="2273" t="s">
        <v>1041</v>
      </c>
      <c r="C250" s="2274" t="s">
        <v>862</v>
      </c>
      <c r="D250" s="668" t="s">
        <v>1066</v>
      </c>
      <c r="E250" s="714">
        <v>17</v>
      </c>
      <c r="F250" s="585" t="s">
        <v>35</v>
      </c>
      <c r="G250" s="585" t="s">
        <v>35</v>
      </c>
      <c r="H250" s="716">
        <v>106925.29</v>
      </c>
      <c r="I250" s="717">
        <v>52283.32</v>
      </c>
      <c r="J250" s="571" t="s">
        <v>35</v>
      </c>
      <c r="K250" s="572" t="s">
        <v>35</v>
      </c>
      <c r="L250" s="718" t="s">
        <v>35</v>
      </c>
      <c r="M250" s="719" t="s">
        <v>35</v>
      </c>
      <c r="N250" s="835">
        <v>4253.6887999999999</v>
      </c>
      <c r="O250" s="594">
        <v>1.86</v>
      </c>
      <c r="P250" s="594">
        <v>2288.0484999999999</v>
      </c>
      <c r="Q250" s="486">
        <v>0.16200000000000001</v>
      </c>
      <c r="R250" s="2285">
        <f>SUMPRODUCT(Q250:Q252,N250:N252)</f>
        <v>-4129.8778853999993</v>
      </c>
      <c r="S250" s="564">
        <v>37</v>
      </c>
      <c r="T250" s="811" t="s">
        <v>35</v>
      </c>
      <c r="U250" s="452"/>
      <c r="V250" s="2334"/>
      <c r="W250" s="92" t="s">
        <v>174</v>
      </c>
      <c r="X250" s="92" t="s">
        <v>1225</v>
      </c>
      <c r="Y250" s="992">
        <f>((130*$R$245)+($R$246*1.008)+$R$247+$R$250+$T$252)*(1+$T$254)</f>
        <v>104727.17539524997</v>
      </c>
      <c r="Z250" s="2341"/>
      <c r="AA250" s="2342"/>
      <c r="AB250" s="907"/>
      <c r="AC250" s="525"/>
      <c r="AD250" s="524"/>
      <c r="AE250" s="525"/>
      <c r="AF250" s="573" t="s">
        <v>174</v>
      </c>
      <c r="AG250" s="92" t="s">
        <v>1225</v>
      </c>
      <c r="AH250" s="660">
        <f>Y250</f>
        <v>104727.17539524997</v>
      </c>
      <c r="AI250" s="681"/>
      <c r="AJ250" s="681"/>
      <c r="AK250" s="681"/>
      <c r="AL250" s="2339"/>
      <c r="AM250" s="477"/>
      <c r="AN250" s="477"/>
      <c r="AO250" s="477"/>
      <c r="AP250" s="477"/>
      <c r="AQ250" s="477"/>
      <c r="AR250" s="477"/>
      <c r="AS250" s="477"/>
      <c r="AT250" s="477"/>
      <c r="AU250" s="477"/>
      <c r="AV250" s="477"/>
      <c r="AW250" s="477"/>
      <c r="AX250" s="477"/>
      <c r="AY250" s="477"/>
      <c r="AZ250" s="477"/>
      <c r="BA250" s="477"/>
      <c r="BB250" s="477"/>
      <c r="BC250" s="477"/>
      <c r="BD250" s="477"/>
      <c r="BE250" s="477"/>
      <c r="BF250" s="477"/>
      <c r="BG250" s="477"/>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433"/>
      <c r="CG250" s="433"/>
      <c r="CH250" s="433"/>
      <c r="CI250" s="433"/>
      <c r="CJ250" s="433"/>
      <c r="CK250" s="433"/>
      <c r="CL250" s="433"/>
      <c r="CM250" s="433"/>
      <c r="CN250" s="433"/>
      <c r="CO250" s="433"/>
      <c r="CP250" s="433"/>
      <c r="CQ250" s="433"/>
      <c r="CR250" s="433"/>
      <c r="CS250" s="433"/>
      <c r="CT250" s="433"/>
      <c r="CU250" s="433"/>
      <c r="CV250" s="433"/>
      <c r="CW250" s="433"/>
      <c r="CX250" s="433"/>
      <c r="CY250" s="433"/>
      <c r="CZ250" s="433"/>
      <c r="DA250" s="433"/>
      <c r="DB250" s="433"/>
      <c r="DC250" s="433"/>
      <c r="DD250" s="433"/>
      <c r="DE250" s="433"/>
      <c r="DF250" s="433"/>
      <c r="DG250" s="433"/>
      <c r="DH250" s="433"/>
      <c r="DI250" s="435"/>
      <c r="DJ250" s="433"/>
      <c r="DK250" s="433"/>
      <c r="DL250" s="433"/>
      <c r="DM250" s="433"/>
      <c r="DN250" s="433"/>
      <c r="DO250" s="433"/>
      <c r="DP250" s="433"/>
      <c r="DQ250" s="433"/>
      <c r="DR250" s="433"/>
      <c r="DS250" s="433"/>
    </row>
    <row r="251" spans="1:123" s="432" customFormat="1" ht="15" customHeight="1">
      <c r="A251" s="2291"/>
      <c r="B251" s="2273"/>
      <c r="C251" s="2274"/>
      <c r="D251" s="668" t="s">
        <v>1158</v>
      </c>
      <c r="E251" s="714">
        <v>7</v>
      </c>
      <c r="F251" s="585" t="s">
        <v>35</v>
      </c>
      <c r="G251" s="585" t="s">
        <v>35</v>
      </c>
      <c r="H251" s="716">
        <v>119714.29</v>
      </c>
      <c r="I251" s="717">
        <v>46417.36</v>
      </c>
      <c r="J251" s="718" t="s">
        <v>35</v>
      </c>
      <c r="K251" s="719" t="s">
        <v>35</v>
      </c>
      <c r="L251" s="718" t="s">
        <v>35</v>
      </c>
      <c r="M251" s="719" t="s">
        <v>35</v>
      </c>
      <c r="N251" s="835">
        <v>-18678.199499999999</v>
      </c>
      <c r="O251" s="594">
        <v>-6.75</v>
      </c>
      <c r="P251" s="594">
        <v>2767.5444499999999</v>
      </c>
      <c r="Q251" s="486">
        <v>0.25800000000000001</v>
      </c>
      <c r="R251" s="2285"/>
      <c r="S251" s="667" t="s">
        <v>876</v>
      </c>
      <c r="T251" s="592" t="s">
        <v>877</v>
      </c>
      <c r="U251" s="560"/>
      <c r="V251" s="2302" t="s">
        <v>1008</v>
      </c>
      <c r="W251" s="92" t="s">
        <v>175</v>
      </c>
      <c r="X251" s="1041" t="s">
        <v>1219</v>
      </c>
      <c r="Y251" s="992">
        <f>((100*$R$245)+($R$246*1.26)+$R$248+$R$250+$T$252)*(1+$T$254)</f>
        <v>52820.089708249958</v>
      </c>
      <c r="Z251" s="2341">
        <f>Y252-Y251</f>
        <v>35621.263062000013</v>
      </c>
      <c r="AA251" s="2342">
        <f>(1.26-1.008)*P246</f>
        <v>5487.2952372</v>
      </c>
      <c r="AB251" s="891"/>
      <c r="AC251" s="525"/>
      <c r="AD251" s="524"/>
      <c r="AE251" s="525"/>
      <c r="AF251" s="573" t="s">
        <v>175</v>
      </c>
      <c r="AG251" s="1041" t="s">
        <v>1226</v>
      </c>
      <c r="AH251" s="660">
        <f>Y253</f>
        <v>21264.552208249952</v>
      </c>
      <c r="AI251" s="681"/>
      <c r="AJ251" s="681"/>
      <c r="AK251" s="681"/>
      <c r="AL251" s="2339">
        <v>41840</v>
      </c>
      <c r="AM251" s="477"/>
      <c r="AN251" s="477"/>
      <c r="AO251" s="477"/>
      <c r="AP251" s="477"/>
      <c r="AQ251" s="477"/>
      <c r="AR251" s="477"/>
      <c r="AS251" s="477"/>
      <c r="AT251" s="477"/>
      <c r="AU251" s="477"/>
      <c r="AV251" s="477"/>
      <c r="AW251" s="477"/>
      <c r="AX251" s="477"/>
      <c r="AY251" s="477"/>
      <c r="AZ251" s="477"/>
      <c r="BA251" s="477"/>
      <c r="BB251" s="477"/>
      <c r="BC251" s="477"/>
      <c r="BD251" s="477"/>
      <c r="BE251" s="477"/>
      <c r="BF251" s="477"/>
      <c r="BG251" s="477"/>
      <c r="BI251" s="95"/>
      <c r="BJ251" s="95"/>
      <c r="BK251" s="95"/>
      <c r="BL251" s="95"/>
      <c r="BM251" s="95"/>
      <c r="BN251" s="95"/>
      <c r="BO251" s="95"/>
      <c r="BP251" s="95"/>
      <c r="BQ251" s="95"/>
      <c r="BR251" s="95"/>
      <c r="BS251" s="95"/>
      <c r="BT251" s="95"/>
      <c r="BU251" s="95"/>
      <c r="BV251" s="95"/>
      <c r="BW251" s="95"/>
      <c r="BX251" s="95"/>
      <c r="BY251" s="95"/>
      <c r="BZ251" s="95"/>
      <c r="CA251" s="95"/>
      <c r="CB251" s="95"/>
      <c r="CC251" s="95"/>
      <c r="CD251" s="95"/>
      <c r="CE251" s="95"/>
      <c r="CF251" s="433"/>
      <c r="CG251" s="433"/>
      <c r="CH251" s="433"/>
      <c r="CI251" s="433"/>
      <c r="CJ251" s="433"/>
      <c r="CK251" s="433"/>
      <c r="CL251" s="433"/>
      <c r="CM251" s="433"/>
      <c r="CN251" s="433"/>
      <c r="CO251" s="433"/>
      <c r="CP251" s="433"/>
      <c r="CQ251" s="433"/>
      <c r="CR251" s="433"/>
      <c r="CS251" s="433"/>
      <c r="CT251" s="433"/>
      <c r="CU251" s="433"/>
      <c r="CV251" s="433"/>
      <c r="CW251" s="433"/>
      <c r="CX251" s="433"/>
      <c r="CY251" s="433"/>
      <c r="CZ251" s="433"/>
      <c r="DA251" s="433"/>
      <c r="DB251" s="433"/>
      <c r="DC251" s="433"/>
      <c r="DD251" s="433"/>
      <c r="DE251" s="433"/>
      <c r="DF251" s="433"/>
      <c r="DG251" s="433"/>
      <c r="DH251" s="433"/>
      <c r="DI251" s="435"/>
      <c r="DJ251" s="433"/>
      <c r="DK251" s="433"/>
      <c r="DL251" s="433"/>
      <c r="DM251" s="433"/>
      <c r="DN251" s="433"/>
      <c r="DO251" s="433"/>
      <c r="DP251" s="433"/>
      <c r="DQ251" s="433"/>
      <c r="DR251" s="433"/>
      <c r="DS251" s="433"/>
    </row>
    <row r="252" spans="1:123" s="432" customFormat="1" ht="15" customHeight="1">
      <c r="A252" s="2291"/>
      <c r="B252" s="2273"/>
      <c r="C252" s="2287"/>
      <c r="D252" s="679" t="s">
        <v>1227</v>
      </c>
      <c r="E252" s="714">
        <v>13</v>
      </c>
      <c r="F252" s="646" t="s">
        <v>35</v>
      </c>
      <c r="G252" s="646" t="s">
        <v>35</v>
      </c>
      <c r="H252" s="716">
        <v>91591.73</v>
      </c>
      <c r="I252" s="717">
        <v>39700.1</v>
      </c>
      <c r="J252" s="735" t="s">
        <v>35</v>
      </c>
      <c r="K252" s="520" t="s">
        <v>35</v>
      </c>
      <c r="L252" s="735" t="s">
        <v>35</v>
      </c>
      <c r="M252" s="520" t="s">
        <v>35</v>
      </c>
      <c r="N252" s="835">
        <v>0</v>
      </c>
      <c r="O252" s="594" t="s">
        <v>847</v>
      </c>
      <c r="P252" s="594" t="s">
        <v>847</v>
      </c>
      <c r="Q252" s="1042">
        <v>5.1999999999999998E-2</v>
      </c>
      <c r="R252" s="2289"/>
      <c r="S252" s="669">
        <v>0.98802199999999996</v>
      </c>
      <c r="T252" s="670">
        <v>136264.14199999999</v>
      </c>
      <c r="U252" s="600"/>
      <c r="V252" s="2302"/>
      <c r="W252" s="92" t="s">
        <v>174</v>
      </c>
      <c r="X252" s="1041" t="s">
        <v>1222</v>
      </c>
      <c r="Y252" s="992">
        <f>((100*$R$245)+($R$246*1.008)+$R$248+$R$250+$T$252)*(1+$T$254)</f>
        <v>88441.35277024997</v>
      </c>
      <c r="Z252" s="2341"/>
      <c r="AA252" s="2342"/>
      <c r="AB252" s="891"/>
      <c r="AC252" s="525"/>
      <c r="AD252" s="524"/>
      <c r="AE252" s="525"/>
      <c r="AF252" s="573" t="s">
        <v>174</v>
      </c>
      <c r="AG252" s="1041" t="s">
        <v>1228</v>
      </c>
      <c r="AH252" s="660">
        <f>Y254</f>
        <v>56885.815270249986</v>
      </c>
      <c r="AI252" s="681"/>
      <c r="AJ252" s="681"/>
      <c r="AK252" s="681"/>
      <c r="AL252" s="2339"/>
      <c r="AM252" s="477"/>
      <c r="AN252" s="477"/>
      <c r="AO252" s="477"/>
      <c r="AP252" s="477"/>
      <c r="AQ252" s="477"/>
      <c r="AR252" s="477"/>
      <c r="AS252" s="477"/>
      <c r="AT252" s="477"/>
      <c r="AU252" s="477"/>
      <c r="AV252" s="477"/>
      <c r="AW252" s="477"/>
      <c r="AX252" s="477"/>
      <c r="AY252" s="477"/>
      <c r="AZ252" s="477"/>
      <c r="BA252" s="477"/>
      <c r="BB252" s="477"/>
      <c r="BC252" s="477"/>
      <c r="BD252" s="477"/>
      <c r="BE252" s="477"/>
      <c r="BF252" s="477"/>
      <c r="BG252" s="477"/>
      <c r="BI252" s="95"/>
      <c r="BJ252" s="95"/>
      <c r="BK252" s="95"/>
      <c r="BL252" s="95"/>
      <c r="BM252" s="95"/>
      <c r="BN252" s="95"/>
      <c r="BO252" s="95"/>
      <c r="BP252" s="95"/>
      <c r="BQ252" s="95"/>
      <c r="BR252" s="95"/>
      <c r="BS252" s="95"/>
      <c r="BT252" s="95"/>
      <c r="BU252" s="95"/>
      <c r="BV252" s="95"/>
      <c r="BW252" s="95"/>
      <c r="BX252" s="95"/>
      <c r="BY252" s="95"/>
      <c r="BZ252" s="95"/>
      <c r="CA252" s="95"/>
      <c r="CB252" s="95"/>
      <c r="CC252" s="95"/>
      <c r="CD252" s="95"/>
      <c r="CE252" s="95"/>
      <c r="CF252" s="433"/>
      <c r="CG252" s="433"/>
      <c r="CH252" s="433"/>
      <c r="CI252" s="433"/>
      <c r="CJ252" s="433"/>
      <c r="CK252" s="433"/>
      <c r="CL252" s="433"/>
      <c r="CM252" s="433"/>
      <c r="CN252" s="433"/>
      <c r="CO252" s="433"/>
      <c r="CP252" s="433"/>
      <c r="CQ252" s="433"/>
      <c r="CR252" s="433"/>
      <c r="CS252" s="433"/>
      <c r="CT252" s="433"/>
      <c r="CU252" s="433"/>
      <c r="CV252" s="433"/>
      <c r="CW252" s="433"/>
      <c r="CX252" s="433"/>
      <c r="CY252" s="433"/>
      <c r="CZ252" s="433"/>
      <c r="DA252" s="433"/>
      <c r="DB252" s="433"/>
      <c r="DC252" s="433"/>
      <c r="DD252" s="433"/>
      <c r="DE252" s="433"/>
      <c r="DF252" s="433"/>
      <c r="DG252" s="433"/>
      <c r="DH252" s="433"/>
      <c r="DI252" s="435"/>
      <c r="DJ252" s="433"/>
      <c r="DK252" s="433"/>
      <c r="DL252" s="433"/>
      <c r="DM252" s="433"/>
      <c r="DN252" s="433"/>
      <c r="DO252" s="433"/>
      <c r="DP252" s="433"/>
      <c r="DQ252" s="433"/>
      <c r="DR252" s="433"/>
      <c r="DS252" s="433"/>
    </row>
    <row r="253" spans="1:123" s="432" customFormat="1" ht="15" customHeight="1">
      <c r="A253" s="2291"/>
      <c r="B253" s="2307" t="s">
        <v>1021</v>
      </c>
      <c r="C253" s="1043"/>
      <c r="D253" s="521"/>
      <c r="E253" s="522"/>
      <c r="F253" s="522"/>
      <c r="G253" s="522"/>
      <c r="H253" s="521"/>
      <c r="I253" s="521"/>
      <c r="J253" s="750"/>
      <c r="K253" s="521"/>
      <c r="L253" s="750"/>
      <c r="M253" s="521"/>
      <c r="N253" s="1044"/>
      <c r="O253" s="1045"/>
      <c r="P253" s="1045"/>
      <c r="Q253" s="753"/>
      <c r="R253" s="1046"/>
      <c r="S253" s="601" t="s">
        <v>883</v>
      </c>
      <c r="T253" s="511" t="s">
        <v>884</v>
      </c>
      <c r="U253" s="470"/>
      <c r="V253" s="2302" t="s">
        <v>1008</v>
      </c>
      <c r="W253" s="92" t="s">
        <v>175</v>
      </c>
      <c r="X253" s="1041" t="s">
        <v>1226</v>
      </c>
      <c r="Y253" s="992">
        <f>((50*$R$245)+($R$246*1.26)+$R$248+$R$250+$T$252)*(1+$T$254)</f>
        <v>21264.552208249952</v>
      </c>
      <c r="Z253" s="2341">
        <f>Y254-Y253</f>
        <v>35621.263062000035</v>
      </c>
      <c r="AA253" s="2342">
        <f>(1.26-1.008)*P246</f>
        <v>5487.2952372</v>
      </c>
      <c r="AB253" s="891"/>
      <c r="AC253" s="525"/>
      <c r="AD253" s="524"/>
      <c r="AE253" s="525"/>
      <c r="AF253" s="757"/>
      <c r="AG253" s="525"/>
      <c r="AH253" s="477"/>
      <c r="AI253" s="477"/>
      <c r="AJ253" s="477"/>
      <c r="AK253" s="477"/>
      <c r="AL253" s="477"/>
      <c r="AM253" s="477"/>
      <c r="AN253" s="477"/>
      <c r="AO253" s="477"/>
      <c r="AP253" s="477"/>
      <c r="AQ253" s="477"/>
      <c r="AR253" s="477"/>
      <c r="AS253" s="477"/>
      <c r="AT253" s="477"/>
      <c r="AU253" s="477"/>
      <c r="AV253" s="477"/>
      <c r="AW253" s="477"/>
      <c r="AX253" s="477"/>
      <c r="AY253" s="477"/>
      <c r="AZ253" s="477"/>
      <c r="BA253" s="477"/>
      <c r="BB253" s="477"/>
      <c r="BC253" s="477"/>
      <c r="BD253" s="477"/>
      <c r="BE253" s="477"/>
      <c r="BF253" s="477"/>
      <c r="BG253" s="477"/>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433"/>
      <c r="CG253" s="433"/>
      <c r="CH253" s="433"/>
      <c r="CI253" s="433"/>
      <c r="CJ253" s="433"/>
      <c r="CK253" s="433"/>
      <c r="CL253" s="433"/>
      <c r="CM253" s="433"/>
      <c r="CN253" s="433"/>
      <c r="CO253" s="433"/>
      <c r="CP253" s="433"/>
      <c r="CQ253" s="433"/>
      <c r="CR253" s="433"/>
      <c r="CS253" s="433"/>
      <c r="CT253" s="433"/>
      <c r="CU253" s="433"/>
      <c r="CV253" s="433"/>
      <c r="CW253" s="433"/>
      <c r="CX253" s="433"/>
      <c r="CY253" s="433"/>
      <c r="CZ253" s="433"/>
      <c r="DA253" s="433"/>
      <c r="DB253" s="433"/>
      <c r="DC253" s="433"/>
      <c r="DD253" s="433"/>
      <c r="DE253" s="433"/>
      <c r="DF253" s="433"/>
      <c r="DG253" s="433"/>
      <c r="DH253" s="433"/>
      <c r="DI253" s="435"/>
      <c r="DJ253" s="433"/>
      <c r="DK253" s="433"/>
      <c r="DL253" s="433"/>
      <c r="DM253" s="433"/>
      <c r="DN253" s="433"/>
      <c r="DO253" s="433"/>
      <c r="DP253" s="433"/>
      <c r="DQ253" s="433"/>
      <c r="DR253" s="433"/>
      <c r="DS253" s="433"/>
    </row>
    <row r="254" spans="1:123" s="432" customFormat="1" ht="15.75" customHeight="1">
      <c r="A254" s="2291"/>
      <c r="B254" s="2308"/>
      <c r="C254" s="1047"/>
      <c r="D254" s="525"/>
      <c r="E254" s="515"/>
      <c r="F254" s="515"/>
      <c r="G254" s="515"/>
      <c r="H254" s="525"/>
      <c r="I254" s="525"/>
      <c r="J254" s="757"/>
      <c r="K254" s="525"/>
      <c r="L254" s="757"/>
      <c r="M254" s="525"/>
      <c r="N254" s="822"/>
      <c r="O254" s="823"/>
      <c r="P254" s="823"/>
      <c r="Q254" s="605"/>
      <c r="R254" s="1030"/>
      <c r="S254" s="568">
        <v>3787.7159999999999</v>
      </c>
      <c r="T254" s="513">
        <v>0.25</v>
      </c>
      <c r="U254" s="603"/>
      <c r="V254" s="2302"/>
      <c r="W254" s="92" t="s">
        <v>174</v>
      </c>
      <c r="X254" s="1041" t="s">
        <v>1228</v>
      </c>
      <c r="Y254" s="992">
        <f>((50*$R$245)+($R$246*1.008)+$R$248+$R$250+$T$252)*(1+$T$254)</f>
        <v>56885.815270249986</v>
      </c>
      <c r="Z254" s="2341"/>
      <c r="AA254" s="2342"/>
      <c r="AB254" s="891"/>
      <c r="AC254" s="525"/>
      <c r="AD254" s="524"/>
      <c r="AE254" s="525"/>
      <c r="AF254" s="757"/>
      <c r="AG254" s="525"/>
      <c r="AH254" s="477"/>
      <c r="AI254" s="477"/>
      <c r="AJ254" s="477"/>
      <c r="AK254" s="477"/>
      <c r="AL254" s="477"/>
      <c r="AM254" s="477"/>
      <c r="AN254" s="477"/>
      <c r="AO254" s="477"/>
      <c r="AP254" s="477"/>
      <c r="AQ254" s="477"/>
      <c r="AR254" s="477"/>
      <c r="AS254" s="477"/>
      <c r="AT254" s="477"/>
      <c r="AU254" s="477"/>
      <c r="AV254" s="477"/>
      <c r="AW254" s="477"/>
      <c r="AX254" s="477"/>
      <c r="AY254" s="477"/>
      <c r="AZ254" s="477"/>
      <c r="BA254" s="477"/>
      <c r="BB254" s="477"/>
      <c r="BC254" s="477"/>
      <c r="BD254" s="477"/>
      <c r="BE254" s="477"/>
      <c r="BF254" s="477"/>
      <c r="BG254" s="477"/>
      <c r="BI254" s="95"/>
      <c r="BJ254" s="95"/>
      <c r="BK254" s="95"/>
      <c r="BL254" s="95"/>
      <c r="BM254" s="95"/>
      <c r="BN254" s="95"/>
      <c r="BO254" s="95"/>
      <c r="BP254" s="95"/>
      <c r="BQ254" s="95"/>
      <c r="BR254" s="95"/>
      <c r="BS254" s="95"/>
      <c r="BT254" s="95"/>
      <c r="BU254" s="95"/>
      <c r="BV254" s="95"/>
      <c r="BW254" s="95"/>
      <c r="BX254" s="95"/>
      <c r="BY254" s="95"/>
      <c r="BZ254" s="95"/>
      <c r="CA254" s="95"/>
      <c r="CB254" s="95"/>
      <c r="CC254" s="95"/>
      <c r="CD254" s="95"/>
      <c r="CE254" s="95"/>
      <c r="CF254" s="433"/>
      <c r="CG254" s="433"/>
      <c r="CH254" s="433"/>
      <c r="CI254" s="433"/>
      <c r="CJ254" s="433"/>
      <c r="CK254" s="433"/>
      <c r="CL254" s="433"/>
      <c r="CM254" s="433"/>
      <c r="CN254" s="433"/>
      <c r="CO254" s="433"/>
      <c r="CP254" s="433"/>
      <c r="CQ254" s="433"/>
      <c r="CR254" s="433"/>
      <c r="CS254" s="433"/>
      <c r="CT254" s="433"/>
      <c r="CU254" s="433"/>
      <c r="CV254" s="433"/>
      <c r="CW254" s="433"/>
      <c r="CX254" s="433"/>
      <c r="CY254" s="433"/>
      <c r="CZ254" s="433"/>
      <c r="DA254" s="433"/>
      <c r="DB254" s="433"/>
      <c r="DC254" s="433"/>
      <c r="DD254" s="433"/>
      <c r="DE254" s="433"/>
      <c r="DF254" s="433"/>
      <c r="DG254" s="433"/>
      <c r="DH254" s="433"/>
      <c r="DI254" s="435"/>
      <c r="DJ254" s="433"/>
      <c r="DK254" s="433"/>
      <c r="DL254" s="433"/>
      <c r="DM254" s="433"/>
      <c r="DN254" s="433"/>
      <c r="DO254" s="433"/>
      <c r="DP254" s="433"/>
      <c r="DQ254" s="433"/>
      <c r="DR254" s="433"/>
      <c r="DS254" s="433"/>
    </row>
    <row r="255" spans="1:123" s="432" customFormat="1" ht="19.5" customHeight="1">
      <c r="A255" s="2291"/>
      <c r="B255" s="2308"/>
      <c r="C255" s="1047"/>
      <c r="D255" s="525"/>
      <c r="E255" s="515"/>
      <c r="F255" s="515"/>
      <c r="G255" s="515"/>
      <c r="H255" s="525"/>
      <c r="I255" s="525"/>
      <c r="J255" s="757"/>
      <c r="K255" s="525"/>
      <c r="L255" s="757"/>
      <c r="M255" s="525"/>
      <c r="N255" s="822"/>
      <c r="O255" s="823"/>
      <c r="P255" s="823"/>
      <c r="Q255" s="605"/>
      <c r="R255" s="605"/>
      <c r="S255" s="1048"/>
      <c r="T255" s="1049"/>
      <c r="U255" s="603"/>
      <c r="V255" s="1050"/>
      <c r="W255" s="525"/>
      <c r="X255" s="1051"/>
      <c r="Y255" s="1052"/>
      <c r="Z255" s="933"/>
      <c r="AA255" s="933"/>
      <c r="AB255" s="891"/>
      <c r="AC255" s="525"/>
      <c r="AD255" s="524"/>
      <c r="AE255" s="868"/>
      <c r="AF255" s="757"/>
      <c r="AG255" s="525"/>
      <c r="AH255" s="477"/>
      <c r="AI255" s="477"/>
      <c r="AJ255" s="477"/>
      <c r="AK255" s="477"/>
      <c r="AL255" s="477"/>
      <c r="AM255" s="477"/>
      <c r="AN255" s="477"/>
      <c r="AO255" s="477"/>
      <c r="AP255" s="477"/>
      <c r="AQ255" s="477"/>
      <c r="AR255" s="477"/>
      <c r="AS255" s="477"/>
      <c r="AT255" s="477"/>
      <c r="AU255" s="477"/>
      <c r="AV255" s="477"/>
      <c r="AW255" s="477"/>
      <c r="AX255" s="477"/>
      <c r="AY255" s="477"/>
      <c r="AZ255" s="477"/>
      <c r="BA255" s="477"/>
      <c r="BB255" s="477"/>
      <c r="BC255" s="477"/>
      <c r="BD255" s="477"/>
      <c r="BE255" s="477"/>
      <c r="BF255" s="477"/>
      <c r="BG255" s="477"/>
      <c r="BI255" s="95"/>
      <c r="BJ255" s="95"/>
      <c r="BK255" s="95"/>
      <c r="BL255" s="95"/>
      <c r="BM255" s="95"/>
      <c r="BN255" s="95"/>
      <c r="BO255" s="95"/>
      <c r="BP255" s="95"/>
      <c r="BQ255" s="95"/>
      <c r="BR255" s="95"/>
      <c r="BS255" s="95"/>
      <c r="BT255" s="95"/>
      <c r="BU255" s="95"/>
      <c r="BV255" s="95"/>
      <c r="BW255" s="95"/>
      <c r="BX255" s="95"/>
      <c r="BY255" s="95"/>
      <c r="BZ255" s="95"/>
      <c r="CA255" s="95"/>
      <c r="CB255" s="95"/>
      <c r="CC255" s="95"/>
      <c r="CD255" s="95"/>
      <c r="CE255" s="95"/>
      <c r="CF255" s="433"/>
      <c r="CG255" s="433"/>
      <c r="CH255" s="433"/>
      <c r="CI255" s="433"/>
      <c r="CJ255" s="433"/>
      <c r="CK255" s="433"/>
      <c r="CL255" s="433"/>
      <c r="CM255" s="433"/>
      <c r="CN255" s="433"/>
      <c r="CO255" s="433"/>
      <c r="CP255" s="433"/>
      <c r="CQ255" s="433"/>
      <c r="CR255" s="433"/>
      <c r="CS255" s="433"/>
      <c r="CT255" s="433"/>
      <c r="CU255" s="433"/>
      <c r="CV255" s="433"/>
      <c r="CW255" s="433"/>
      <c r="CX255" s="433"/>
      <c r="CY255" s="433"/>
      <c r="CZ255" s="433"/>
      <c r="DA255" s="433"/>
      <c r="DB255" s="433"/>
      <c r="DC255" s="433"/>
      <c r="DD255" s="433"/>
      <c r="DE255" s="433"/>
      <c r="DF255" s="433"/>
      <c r="DG255" s="433"/>
      <c r="DH255" s="433"/>
      <c r="DI255" s="435"/>
      <c r="DJ255" s="433"/>
      <c r="DK255" s="433"/>
      <c r="DL255" s="433"/>
      <c r="DM255" s="433"/>
      <c r="DN255" s="433"/>
      <c r="DO255" s="433"/>
      <c r="DP255" s="433"/>
      <c r="DQ255" s="433"/>
      <c r="DR255" s="433"/>
      <c r="DS255" s="433"/>
    </row>
    <row r="256" spans="1:123" s="432" customFormat="1" ht="19.5" customHeight="1">
      <c r="A256" s="2291"/>
      <c r="B256" s="2308"/>
      <c r="C256" s="1047"/>
      <c r="D256" s="525"/>
      <c r="E256" s="515"/>
      <c r="F256" s="515"/>
      <c r="G256" s="515"/>
      <c r="H256" s="525"/>
      <c r="I256" s="525"/>
      <c r="J256" s="757"/>
      <c r="K256" s="525"/>
      <c r="L256" s="757"/>
      <c r="M256" s="525"/>
      <c r="N256" s="822"/>
      <c r="O256" s="823"/>
      <c r="P256" s="823"/>
      <c r="Q256" s="605"/>
      <c r="R256" s="605"/>
      <c r="S256" s="1048"/>
      <c r="T256" s="1049"/>
      <c r="U256" s="603"/>
      <c r="V256" s="1050"/>
      <c r="W256" s="525"/>
      <c r="X256" s="1051"/>
      <c r="Y256" s="1052"/>
      <c r="Z256" s="933"/>
      <c r="AA256" s="933"/>
      <c r="AB256" s="891"/>
      <c r="AC256" s="525"/>
      <c r="AD256" s="524"/>
      <c r="AE256" s="868"/>
      <c r="AF256" s="757"/>
      <c r="AG256" s="525"/>
      <c r="AH256" s="477"/>
      <c r="AI256" s="477"/>
      <c r="AJ256" s="477"/>
      <c r="AK256" s="477"/>
      <c r="AL256" s="477"/>
      <c r="AM256" s="477"/>
      <c r="AN256" s="477"/>
      <c r="AO256" s="477"/>
      <c r="AP256" s="477"/>
      <c r="AQ256" s="477"/>
      <c r="AR256" s="477"/>
      <c r="AS256" s="477"/>
      <c r="AT256" s="477"/>
      <c r="AU256" s="477"/>
      <c r="AV256" s="477"/>
      <c r="AW256" s="477"/>
      <c r="AX256" s="477"/>
      <c r="AY256" s="477"/>
      <c r="AZ256" s="477"/>
      <c r="BA256" s="477"/>
      <c r="BB256" s="477"/>
      <c r="BC256" s="477"/>
      <c r="BD256" s="477"/>
      <c r="BE256" s="477"/>
      <c r="BF256" s="477"/>
      <c r="BG256" s="477"/>
      <c r="BI256" s="95"/>
      <c r="BJ256" s="95"/>
      <c r="BK256" s="95"/>
      <c r="BL256" s="95"/>
      <c r="BM256" s="95"/>
      <c r="BN256" s="95"/>
      <c r="BO256" s="95"/>
      <c r="BP256" s="95"/>
      <c r="BQ256" s="95"/>
      <c r="BR256" s="95"/>
      <c r="BS256" s="95"/>
      <c r="BT256" s="95"/>
      <c r="BU256" s="95"/>
      <c r="BV256" s="95"/>
      <c r="BW256" s="95"/>
      <c r="BX256" s="95"/>
      <c r="BY256" s="95"/>
      <c r="BZ256" s="95"/>
      <c r="CA256" s="95"/>
      <c r="CB256" s="95"/>
      <c r="CC256" s="95"/>
      <c r="CD256" s="95"/>
      <c r="CE256" s="95"/>
      <c r="CF256" s="433"/>
      <c r="CG256" s="433"/>
      <c r="CH256" s="433"/>
      <c r="CI256" s="433"/>
      <c r="CJ256" s="433"/>
      <c r="CK256" s="433"/>
      <c r="CL256" s="433"/>
      <c r="CM256" s="433"/>
      <c r="CN256" s="433"/>
      <c r="CO256" s="433"/>
      <c r="CP256" s="433"/>
      <c r="CQ256" s="433"/>
      <c r="CR256" s="433"/>
      <c r="CS256" s="433"/>
      <c r="CT256" s="433"/>
      <c r="CU256" s="433"/>
      <c r="CV256" s="433"/>
      <c r="CW256" s="433"/>
      <c r="CX256" s="433"/>
      <c r="CY256" s="433"/>
      <c r="CZ256" s="433"/>
      <c r="DA256" s="433"/>
      <c r="DB256" s="433"/>
      <c r="DC256" s="433"/>
      <c r="DD256" s="433"/>
      <c r="DE256" s="433"/>
      <c r="DF256" s="433"/>
      <c r="DG256" s="433"/>
      <c r="DH256" s="433"/>
      <c r="DI256" s="435"/>
      <c r="DJ256" s="433"/>
      <c r="DK256" s="433"/>
      <c r="DL256" s="433"/>
      <c r="DM256" s="433"/>
      <c r="DN256" s="433"/>
      <c r="DO256" s="433"/>
      <c r="DP256" s="433"/>
      <c r="DQ256" s="433"/>
      <c r="DR256" s="433"/>
      <c r="DS256" s="433"/>
    </row>
    <row r="257" spans="1:123" s="432" customFormat="1" ht="19.5" customHeight="1">
      <c r="A257" s="2291"/>
      <c r="B257" s="2308"/>
      <c r="C257" s="1047"/>
      <c r="D257" s="525"/>
      <c r="E257" s="515"/>
      <c r="F257" s="515"/>
      <c r="G257" s="515"/>
      <c r="H257" s="525"/>
      <c r="I257" s="525"/>
      <c r="J257" s="757"/>
      <c r="K257" s="525"/>
      <c r="L257" s="757"/>
      <c r="M257" s="525"/>
      <c r="N257" s="822"/>
      <c r="O257" s="823"/>
      <c r="P257" s="823"/>
      <c r="Q257" s="605"/>
      <c r="R257" s="605"/>
      <c r="S257" s="1048"/>
      <c r="T257" s="1049"/>
      <c r="U257" s="603"/>
      <c r="V257" s="1050"/>
      <c r="W257" s="525"/>
      <c r="X257" s="1051"/>
      <c r="Y257" s="1052"/>
      <c r="Z257" s="933"/>
      <c r="AA257" s="933"/>
      <c r="AB257" s="891"/>
      <c r="AC257" s="525"/>
      <c r="AD257" s="524"/>
      <c r="AE257" s="868"/>
      <c r="AF257" s="757"/>
      <c r="AG257" s="525"/>
      <c r="AH257" s="477"/>
      <c r="AI257" s="477"/>
      <c r="AJ257" s="477"/>
      <c r="AK257" s="477"/>
      <c r="AL257" s="477"/>
      <c r="AM257" s="477"/>
      <c r="AN257" s="477"/>
      <c r="AO257" s="477"/>
      <c r="AP257" s="477"/>
      <c r="AQ257" s="477"/>
      <c r="AR257" s="477"/>
      <c r="AS257" s="477"/>
      <c r="AT257" s="477"/>
      <c r="AU257" s="477"/>
      <c r="AV257" s="477"/>
      <c r="AW257" s="477"/>
      <c r="AX257" s="477"/>
      <c r="AY257" s="477"/>
      <c r="AZ257" s="477"/>
      <c r="BA257" s="477"/>
      <c r="BB257" s="477"/>
      <c r="BC257" s="477"/>
      <c r="BD257" s="477"/>
      <c r="BE257" s="477"/>
      <c r="BF257" s="477"/>
      <c r="BG257" s="477"/>
      <c r="BI257" s="95"/>
      <c r="BJ257" s="95"/>
      <c r="BK257" s="95"/>
      <c r="BL257" s="95"/>
      <c r="BM257" s="95"/>
      <c r="BN257" s="95"/>
      <c r="BO257" s="95"/>
      <c r="BP257" s="95"/>
      <c r="BQ257" s="95"/>
      <c r="BR257" s="95"/>
      <c r="BS257" s="95"/>
      <c r="BT257" s="95"/>
      <c r="BU257" s="95"/>
      <c r="BV257" s="95"/>
      <c r="BW257" s="95"/>
      <c r="BX257" s="95"/>
      <c r="BY257" s="95"/>
      <c r="BZ257" s="95"/>
      <c r="CA257" s="95"/>
      <c r="CB257" s="95"/>
      <c r="CC257" s="95"/>
      <c r="CD257" s="95"/>
      <c r="CE257" s="95"/>
      <c r="CF257" s="433"/>
      <c r="CG257" s="433"/>
      <c r="CH257" s="433"/>
      <c r="CI257" s="433"/>
      <c r="CJ257" s="433"/>
      <c r="CK257" s="433"/>
      <c r="CL257" s="433"/>
      <c r="CM257" s="433"/>
      <c r="CN257" s="433"/>
      <c r="CO257" s="433"/>
      <c r="CP257" s="433"/>
      <c r="CQ257" s="433"/>
      <c r="CR257" s="433"/>
      <c r="CS257" s="433"/>
      <c r="CT257" s="433"/>
      <c r="CU257" s="433"/>
      <c r="CV257" s="433"/>
      <c r="CW257" s="433"/>
      <c r="CX257" s="433"/>
      <c r="CY257" s="433"/>
      <c r="CZ257" s="433"/>
      <c r="DA257" s="433"/>
      <c r="DB257" s="433"/>
      <c r="DC257" s="433"/>
      <c r="DD257" s="433"/>
      <c r="DE257" s="433"/>
      <c r="DF257" s="433"/>
      <c r="DG257" s="433"/>
      <c r="DH257" s="433"/>
      <c r="DI257" s="435"/>
      <c r="DJ257" s="433"/>
      <c r="DK257" s="433"/>
      <c r="DL257" s="433"/>
      <c r="DM257" s="433"/>
      <c r="DN257" s="433"/>
      <c r="DO257" s="433"/>
      <c r="DP257" s="433"/>
      <c r="DQ257" s="433"/>
      <c r="DR257" s="433"/>
      <c r="DS257" s="433"/>
    </row>
    <row r="258" spans="1:123" s="432" customFormat="1" ht="19.5" customHeight="1">
      <c r="A258" s="2291"/>
      <c r="B258" s="2308"/>
      <c r="C258" s="1047"/>
      <c r="D258" s="525"/>
      <c r="E258" s="515"/>
      <c r="F258" s="515"/>
      <c r="G258" s="515"/>
      <c r="H258" s="525"/>
      <c r="I258" s="525"/>
      <c r="J258" s="757"/>
      <c r="K258" s="525"/>
      <c r="L258" s="757"/>
      <c r="M258" s="525"/>
      <c r="N258" s="822"/>
      <c r="O258" s="823"/>
      <c r="P258" s="823"/>
      <c r="Q258" s="605"/>
      <c r="R258" s="605"/>
      <c r="S258" s="1048"/>
      <c r="T258" s="1049"/>
      <c r="U258" s="603"/>
      <c r="V258" s="1050"/>
      <c r="W258" s="525"/>
      <c r="X258" s="1051"/>
      <c r="Y258" s="1052"/>
      <c r="Z258" s="933"/>
      <c r="AA258" s="933"/>
      <c r="AB258" s="891"/>
      <c r="AC258" s="525"/>
      <c r="AD258" s="524"/>
      <c r="AE258" s="868"/>
      <c r="AF258" s="757"/>
      <c r="AG258" s="525"/>
      <c r="AH258" s="477"/>
      <c r="AI258" s="477"/>
      <c r="AJ258" s="477"/>
      <c r="AK258" s="477"/>
      <c r="AL258" s="477"/>
      <c r="AM258" s="477"/>
      <c r="AN258" s="477"/>
      <c r="AO258" s="477"/>
      <c r="AP258" s="477"/>
      <c r="AQ258" s="477"/>
      <c r="AR258" s="477"/>
      <c r="AS258" s="477"/>
      <c r="AT258" s="477"/>
      <c r="AU258" s="477"/>
      <c r="AV258" s="477"/>
      <c r="AW258" s="477"/>
      <c r="AX258" s="477"/>
      <c r="AY258" s="477"/>
      <c r="AZ258" s="477"/>
      <c r="BA258" s="477"/>
      <c r="BB258" s="477"/>
      <c r="BC258" s="477"/>
      <c r="BD258" s="477"/>
      <c r="BE258" s="477"/>
      <c r="BF258" s="477"/>
      <c r="BG258" s="477"/>
      <c r="BI258" s="95"/>
      <c r="BJ258" s="95"/>
      <c r="BK258" s="95"/>
      <c r="BL258" s="95"/>
      <c r="BM258" s="95"/>
      <c r="BN258" s="95"/>
      <c r="BO258" s="95"/>
      <c r="BP258" s="95"/>
      <c r="BQ258" s="95"/>
      <c r="BR258" s="95"/>
      <c r="BS258" s="95"/>
      <c r="BT258" s="95"/>
      <c r="BU258" s="95"/>
      <c r="BV258" s="95"/>
      <c r="BW258" s="95"/>
      <c r="BX258" s="95"/>
      <c r="BY258" s="95"/>
      <c r="BZ258" s="95"/>
      <c r="CA258" s="95"/>
      <c r="CB258" s="95"/>
      <c r="CC258" s="95"/>
      <c r="CD258" s="95"/>
      <c r="CE258" s="95"/>
      <c r="CF258" s="433"/>
      <c r="CG258" s="433"/>
      <c r="CH258" s="433"/>
      <c r="CI258" s="433"/>
      <c r="CJ258" s="433"/>
      <c r="CK258" s="433"/>
      <c r="CL258" s="433"/>
      <c r="CM258" s="433"/>
      <c r="CN258" s="433"/>
      <c r="CO258" s="433"/>
      <c r="CP258" s="433"/>
      <c r="CQ258" s="433"/>
      <c r="CR258" s="433"/>
      <c r="CS258" s="433"/>
      <c r="CT258" s="433"/>
      <c r="CU258" s="433"/>
      <c r="CV258" s="433"/>
      <c r="CW258" s="433"/>
      <c r="CX258" s="433"/>
      <c r="CY258" s="433"/>
      <c r="CZ258" s="433"/>
      <c r="DA258" s="433"/>
      <c r="DB258" s="433"/>
      <c r="DC258" s="433"/>
      <c r="DD258" s="433"/>
      <c r="DE258" s="433"/>
      <c r="DF258" s="433"/>
      <c r="DG258" s="433"/>
      <c r="DH258" s="433"/>
      <c r="DI258" s="435"/>
      <c r="DJ258" s="433"/>
      <c r="DK258" s="433"/>
      <c r="DL258" s="433"/>
      <c r="DM258" s="433"/>
      <c r="DN258" s="433"/>
      <c r="DO258" s="433"/>
      <c r="DP258" s="433"/>
      <c r="DQ258" s="433"/>
      <c r="DR258" s="433"/>
      <c r="DS258" s="433"/>
    </row>
    <row r="259" spans="1:123" s="432" customFormat="1" ht="19.5" customHeight="1">
      <c r="A259" s="2291"/>
      <c r="B259" s="2308"/>
      <c r="C259" s="1047"/>
      <c r="D259" s="525"/>
      <c r="E259" s="515"/>
      <c r="F259" s="515"/>
      <c r="G259" s="515"/>
      <c r="H259" s="525"/>
      <c r="I259" s="525"/>
      <c r="J259" s="757"/>
      <c r="K259" s="525"/>
      <c r="L259" s="757"/>
      <c r="M259" s="525"/>
      <c r="N259" s="822"/>
      <c r="O259" s="823"/>
      <c r="P259" s="823"/>
      <c r="Q259" s="605"/>
      <c r="R259" s="605"/>
      <c r="S259" s="1048"/>
      <c r="T259" s="1049"/>
      <c r="U259" s="603"/>
      <c r="V259" s="1050"/>
      <c r="W259" s="525"/>
      <c r="X259" s="1051"/>
      <c r="Y259" s="1052"/>
      <c r="Z259" s="933"/>
      <c r="AA259" s="933"/>
      <c r="AB259" s="891"/>
      <c r="AC259" s="525"/>
      <c r="AD259" s="524"/>
      <c r="AE259" s="868"/>
      <c r="AF259" s="757"/>
      <c r="AG259" s="525"/>
      <c r="AH259" s="477"/>
      <c r="AI259" s="477"/>
      <c r="AJ259" s="477"/>
      <c r="AK259" s="477"/>
      <c r="AL259" s="477"/>
      <c r="AM259" s="477"/>
      <c r="AN259" s="477"/>
      <c r="AO259" s="477"/>
      <c r="AP259" s="477"/>
      <c r="AQ259" s="477"/>
      <c r="AR259" s="477"/>
      <c r="AS259" s="477"/>
      <c r="AT259" s="477"/>
      <c r="AU259" s="477"/>
      <c r="AV259" s="477"/>
      <c r="AW259" s="477"/>
      <c r="AX259" s="477"/>
      <c r="AY259" s="477"/>
      <c r="AZ259" s="477"/>
      <c r="BA259" s="477"/>
      <c r="BB259" s="477"/>
      <c r="BC259" s="477"/>
      <c r="BD259" s="477"/>
      <c r="BE259" s="477"/>
      <c r="BF259" s="477"/>
      <c r="BG259" s="477"/>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433"/>
      <c r="CG259" s="433"/>
      <c r="CH259" s="433"/>
      <c r="CI259" s="433"/>
      <c r="CJ259" s="433"/>
      <c r="CK259" s="433"/>
      <c r="CL259" s="433"/>
      <c r="CM259" s="433"/>
      <c r="CN259" s="433"/>
      <c r="CO259" s="433"/>
      <c r="CP259" s="433"/>
      <c r="CQ259" s="433"/>
      <c r="CR259" s="433"/>
      <c r="CS259" s="433"/>
      <c r="CT259" s="433"/>
      <c r="CU259" s="433"/>
      <c r="CV259" s="433"/>
      <c r="CW259" s="433"/>
      <c r="CX259" s="433"/>
      <c r="CY259" s="433"/>
      <c r="CZ259" s="433"/>
      <c r="DA259" s="433"/>
      <c r="DB259" s="433"/>
      <c r="DC259" s="433"/>
      <c r="DD259" s="433"/>
      <c r="DE259" s="433"/>
      <c r="DF259" s="433"/>
      <c r="DG259" s="433"/>
      <c r="DH259" s="433"/>
      <c r="DI259" s="435"/>
      <c r="DJ259" s="433"/>
      <c r="DK259" s="433"/>
      <c r="DL259" s="433"/>
      <c r="DM259" s="433"/>
      <c r="DN259" s="433"/>
      <c r="DO259" s="433"/>
      <c r="DP259" s="433"/>
      <c r="DQ259" s="433"/>
      <c r="DR259" s="433"/>
      <c r="DS259" s="433"/>
    </row>
    <row r="260" spans="1:123" s="432" customFormat="1" ht="19.5" customHeight="1">
      <c r="A260" s="2291"/>
      <c r="B260" s="2308"/>
      <c r="C260" s="1047"/>
      <c r="D260" s="525"/>
      <c r="E260" s="515"/>
      <c r="F260" s="515"/>
      <c r="G260" s="515"/>
      <c r="H260" s="525"/>
      <c r="I260" s="525"/>
      <c r="J260" s="757"/>
      <c r="K260" s="525"/>
      <c r="L260" s="757"/>
      <c r="M260" s="525"/>
      <c r="N260" s="822"/>
      <c r="O260" s="823"/>
      <c r="P260" s="823"/>
      <c r="Q260" s="605"/>
      <c r="R260" s="605"/>
      <c r="S260" s="1048"/>
      <c r="T260" s="1049"/>
      <c r="U260" s="603"/>
      <c r="V260" s="1050"/>
      <c r="W260" s="525"/>
      <c r="X260" s="1051"/>
      <c r="Y260" s="1052"/>
      <c r="Z260" s="933"/>
      <c r="AA260" s="933"/>
      <c r="AB260" s="891"/>
      <c r="AC260" s="525"/>
      <c r="AD260" s="524"/>
      <c r="AE260" s="868"/>
      <c r="AF260" s="757"/>
      <c r="AG260" s="525"/>
      <c r="AH260" s="477"/>
      <c r="AI260" s="477"/>
      <c r="AJ260" s="477"/>
      <c r="AK260" s="477"/>
      <c r="AL260" s="477"/>
      <c r="AM260" s="477"/>
      <c r="AN260" s="477"/>
      <c r="AO260" s="477"/>
      <c r="AP260" s="477"/>
      <c r="AQ260" s="477"/>
      <c r="AR260" s="477"/>
      <c r="AS260" s="477"/>
      <c r="AT260" s="477"/>
      <c r="AU260" s="477"/>
      <c r="AV260" s="477"/>
      <c r="AW260" s="477"/>
      <c r="AX260" s="477"/>
      <c r="AY260" s="477"/>
      <c r="AZ260" s="477"/>
      <c r="BA260" s="477"/>
      <c r="BB260" s="477"/>
      <c r="BC260" s="477"/>
      <c r="BD260" s="477"/>
      <c r="BE260" s="477"/>
      <c r="BF260" s="477"/>
      <c r="BG260" s="477"/>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433"/>
      <c r="CG260" s="433"/>
      <c r="CH260" s="433"/>
      <c r="CI260" s="433"/>
      <c r="CJ260" s="433"/>
      <c r="CK260" s="433"/>
      <c r="CL260" s="433"/>
      <c r="CM260" s="433"/>
      <c r="CN260" s="433"/>
      <c r="CO260" s="433"/>
      <c r="CP260" s="433"/>
      <c r="CQ260" s="433"/>
      <c r="CR260" s="433"/>
      <c r="CS260" s="433"/>
      <c r="CT260" s="433"/>
      <c r="CU260" s="433"/>
      <c r="CV260" s="433"/>
      <c r="CW260" s="433"/>
      <c r="CX260" s="433"/>
      <c r="CY260" s="433"/>
      <c r="CZ260" s="433"/>
      <c r="DA260" s="433"/>
      <c r="DB260" s="433"/>
      <c r="DC260" s="433"/>
      <c r="DD260" s="433"/>
      <c r="DE260" s="433"/>
      <c r="DF260" s="433"/>
      <c r="DG260" s="433"/>
      <c r="DH260" s="433"/>
      <c r="DI260" s="435"/>
      <c r="DJ260" s="433"/>
      <c r="DK260" s="433"/>
      <c r="DL260" s="433"/>
      <c r="DM260" s="433"/>
      <c r="DN260" s="433"/>
      <c r="DO260" s="433"/>
      <c r="DP260" s="433"/>
      <c r="DQ260" s="433"/>
      <c r="DR260" s="433"/>
      <c r="DS260" s="433"/>
    </row>
    <row r="261" spans="1:123" s="432" customFormat="1" ht="19.5" customHeight="1">
      <c r="A261" s="2291"/>
      <c r="B261" s="2308"/>
      <c r="C261" s="1047"/>
      <c r="D261" s="525"/>
      <c r="E261" s="515"/>
      <c r="F261" s="515"/>
      <c r="G261" s="515"/>
      <c r="H261" s="525"/>
      <c r="I261" s="525"/>
      <c r="J261" s="757"/>
      <c r="K261" s="525"/>
      <c r="L261" s="757"/>
      <c r="M261" s="525"/>
      <c r="N261" s="822"/>
      <c r="O261" s="823"/>
      <c r="P261" s="823"/>
      <c r="Q261" s="605"/>
      <c r="R261" s="605"/>
      <c r="S261" s="1048"/>
      <c r="T261" s="1049"/>
      <c r="U261" s="603"/>
      <c r="V261" s="1050"/>
      <c r="W261" s="525"/>
      <c r="X261" s="1051"/>
      <c r="Y261" s="1052"/>
      <c r="Z261" s="933"/>
      <c r="AA261" s="933"/>
      <c r="AB261" s="891"/>
      <c r="AC261" s="525"/>
      <c r="AD261" s="524"/>
      <c r="AE261" s="868"/>
      <c r="AF261" s="757"/>
      <c r="AG261" s="525"/>
      <c r="AH261" s="477"/>
      <c r="AI261" s="477"/>
      <c r="AJ261" s="477"/>
      <c r="AK261" s="477"/>
      <c r="AL261" s="477"/>
      <c r="AM261" s="477"/>
      <c r="AN261" s="477"/>
      <c r="AO261" s="477"/>
      <c r="AP261" s="477"/>
      <c r="AQ261" s="477"/>
      <c r="AR261" s="477"/>
      <c r="AS261" s="477"/>
      <c r="AT261" s="477"/>
      <c r="AU261" s="477"/>
      <c r="AV261" s="477"/>
      <c r="AW261" s="477"/>
      <c r="AX261" s="477"/>
      <c r="AY261" s="477"/>
      <c r="AZ261" s="477"/>
      <c r="BA261" s="477"/>
      <c r="BB261" s="477"/>
      <c r="BC261" s="477"/>
      <c r="BD261" s="477"/>
      <c r="BE261" s="477"/>
      <c r="BF261" s="477"/>
      <c r="BG261" s="477"/>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433"/>
      <c r="CG261" s="433"/>
      <c r="CH261" s="433"/>
      <c r="CI261" s="433"/>
      <c r="CJ261" s="433"/>
      <c r="CK261" s="433"/>
      <c r="CL261" s="433"/>
      <c r="CM261" s="433"/>
      <c r="CN261" s="433"/>
      <c r="CO261" s="433"/>
      <c r="CP261" s="433"/>
      <c r="CQ261" s="433"/>
      <c r="CR261" s="433"/>
      <c r="CS261" s="433"/>
      <c r="CT261" s="433"/>
      <c r="CU261" s="433"/>
      <c r="CV261" s="433"/>
      <c r="CW261" s="433"/>
      <c r="CX261" s="433"/>
      <c r="CY261" s="433"/>
      <c r="CZ261" s="433"/>
      <c r="DA261" s="433"/>
      <c r="DB261" s="433"/>
      <c r="DC261" s="433"/>
      <c r="DD261" s="433"/>
      <c r="DE261" s="433"/>
      <c r="DF261" s="433"/>
      <c r="DG261" s="433"/>
      <c r="DH261" s="433"/>
      <c r="DI261" s="435"/>
      <c r="DJ261" s="433"/>
      <c r="DK261" s="433"/>
      <c r="DL261" s="433"/>
      <c r="DM261" s="433"/>
      <c r="DN261" s="433"/>
      <c r="DO261" s="433"/>
      <c r="DP261" s="433"/>
      <c r="DQ261" s="433"/>
      <c r="DR261" s="433"/>
      <c r="DS261" s="433"/>
    </row>
    <row r="262" spans="1:123" s="432" customFormat="1" ht="19.5" customHeight="1">
      <c r="A262" s="2291"/>
      <c r="B262" s="2308"/>
      <c r="C262" s="1047"/>
      <c r="D262" s="525"/>
      <c r="E262" s="515"/>
      <c r="F262" s="515"/>
      <c r="G262" s="515"/>
      <c r="H262" s="525"/>
      <c r="I262" s="525"/>
      <c r="J262" s="757"/>
      <c r="K262" s="525"/>
      <c r="L262" s="757"/>
      <c r="M262" s="525"/>
      <c r="N262" s="822"/>
      <c r="O262" s="823"/>
      <c r="P262" s="823"/>
      <c r="Q262" s="605"/>
      <c r="R262" s="605"/>
      <c r="S262" s="1048"/>
      <c r="T262" s="1049"/>
      <c r="U262" s="603"/>
      <c r="V262" s="1050"/>
      <c r="W262" s="525"/>
      <c r="X262" s="1051"/>
      <c r="Y262" s="1052"/>
      <c r="Z262" s="933"/>
      <c r="AA262" s="933"/>
      <c r="AB262" s="891"/>
      <c r="AC262" s="525"/>
      <c r="AD262" s="524"/>
      <c r="AE262" s="868"/>
      <c r="AF262" s="757"/>
      <c r="AG262" s="525"/>
      <c r="AH262" s="477"/>
      <c r="AI262" s="477"/>
      <c r="AJ262" s="477"/>
      <c r="AK262" s="477"/>
      <c r="AL262" s="477"/>
      <c r="AM262" s="477"/>
      <c r="AN262" s="477"/>
      <c r="AO262" s="477"/>
      <c r="AP262" s="477"/>
      <c r="AQ262" s="477"/>
      <c r="AR262" s="477"/>
      <c r="AS262" s="477"/>
      <c r="AT262" s="477"/>
      <c r="AU262" s="477"/>
      <c r="AV262" s="477"/>
      <c r="AW262" s="477"/>
      <c r="AX262" s="477"/>
      <c r="AY262" s="477"/>
      <c r="AZ262" s="477"/>
      <c r="BA262" s="477"/>
      <c r="BB262" s="477"/>
      <c r="BC262" s="477"/>
      <c r="BD262" s="477"/>
      <c r="BE262" s="477"/>
      <c r="BF262" s="477"/>
      <c r="BG262" s="477"/>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433"/>
      <c r="CG262" s="433"/>
      <c r="CH262" s="433"/>
      <c r="CI262" s="433"/>
      <c r="CJ262" s="433"/>
      <c r="CK262" s="433"/>
      <c r="CL262" s="433"/>
      <c r="CM262" s="433"/>
      <c r="CN262" s="433"/>
      <c r="CO262" s="433"/>
      <c r="CP262" s="433"/>
      <c r="CQ262" s="433"/>
      <c r="CR262" s="433"/>
      <c r="CS262" s="433"/>
      <c r="CT262" s="433"/>
      <c r="CU262" s="433"/>
      <c r="CV262" s="433"/>
      <c r="CW262" s="433"/>
      <c r="CX262" s="433"/>
      <c r="CY262" s="433"/>
      <c r="CZ262" s="433"/>
      <c r="DA262" s="433"/>
      <c r="DB262" s="433"/>
      <c r="DC262" s="433"/>
      <c r="DD262" s="433"/>
      <c r="DE262" s="433"/>
      <c r="DF262" s="433"/>
      <c r="DG262" s="433"/>
      <c r="DH262" s="433"/>
      <c r="DI262" s="435"/>
      <c r="DJ262" s="433"/>
      <c r="DK262" s="433"/>
      <c r="DL262" s="433"/>
      <c r="DM262" s="433"/>
      <c r="DN262" s="433"/>
      <c r="DO262" s="433"/>
      <c r="DP262" s="433"/>
      <c r="DQ262" s="433"/>
      <c r="DR262" s="433"/>
      <c r="DS262" s="433"/>
    </row>
    <row r="263" spans="1:123" s="432" customFormat="1" ht="19.5" customHeight="1">
      <c r="A263" s="2291"/>
      <c r="B263" s="2308"/>
      <c r="C263" s="1047"/>
      <c r="D263" s="525"/>
      <c r="E263" s="515"/>
      <c r="F263" s="515"/>
      <c r="G263" s="515"/>
      <c r="H263" s="525"/>
      <c r="I263" s="525"/>
      <c r="J263" s="757"/>
      <c r="K263" s="525"/>
      <c r="L263" s="757"/>
      <c r="M263" s="525"/>
      <c r="N263" s="822"/>
      <c r="O263" s="823"/>
      <c r="P263" s="823"/>
      <c r="Q263" s="605"/>
      <c r="R263" s="605"/>
      <c r="S263" s="1048"/>
      <c r="T263" s="1049"/>
      <c r="U263" s="603"/>
      <c r="V263" s="1050"/>
      <c r="W263" s="525"/>
      <c r="X263" s="1051"/>
      <c r="Y263" s="1052"/>
      <c r="Z263" s="933"/>
      <c r="AA263" s="933"/>
      <c r="AB263" s="891"/>
      <c r="AC263" s="525"/>
      <c r="AD263" s="524"/>
      <c r="AE263" s="868"/>
      <c r="AF263" s="757"/>
      <c r="AG263" s="525"/>
      <c r="AH263" s="477"/>
      <c r="AI263" s="477"/>
      <c r="AJ263" s="477"/>
      <c r="AK263" s="477"/>
      <c r="AL263" s="477"/>
      <c r="AM263" s="477"/>
      <c r="AN263" s="477"/>
      <c r="AO263" s="477"/>
      <c r="AP263" s="477"/>
      <c r="AQ263" s="477"/>
      <c r="AR263" s="477"/>
      <c r="AS263" s="477"/>
      <c r="AT263" s="477"/>
      <c r="AU263" s="477"/>
      <c r="AV263" s="477"/>
      <c r="AW263" s="477"/>
      <c r="AX263" s="477"/>
      <c r="AY263" s="477"/>
      <c r="AZ263" s="477"/>
      <c r="BA263" s="477"/>
      <c r="BB263" s="477"/>
      <c r="BC263" s="477"/>
      <c r="BD263" s="477"/>
      <c r="BE263" s="477"/>
      <c r="BF263" s="477"/>
      <c r="BG263" s="477"/>
      <c r="BI263" s="95"/>
      <c r="BJ263" s="95"/>
      <c r="BK263" s="95"/>
      <c r="BL263" s="95"/>
      <c r="BM263" s="95"/>
      <c r="BN263" s="95"/>
      <c r="BO263" s="95"/>
      <c r="BP263" s="95"/>
      <c r="BQ263" s="95"/>
      <c r="BR263" s="95"/>
      <c r="BS263" s="95"/>
      <c r="BT263" s="95"/>
      <c r="BU263" s="95"/>
      <c r="BV263" s="95"/>
      <c r="BW263" s="95"/>
      <c r="BX263" s="95"/>
      <c r="BY263" s="95"/>
      <c r="BZ263" s="95"/>
      <c r="CA263" s="95"/>
      <c r="CB263" s="95"/>
      <c r="CC263" s="95"/>
      <c r="CD263" s="95"/>
      <c r="CE263" s="95"/>
      <c r="CF263" s="433"/>
      <c r="CG263" s="433"/>
      <c r="CH263" s="433"/>
      <c r="CI263" s="433"/>
      <c r="CJ263" s="433"/>
      <c r="CK263" s="433"/>
      <c r="CL263" s="433"/>
      <c r="CM263" s="433"/>
      <c r="CN263" s="433"/>
      <c r="CO263" s="433"/>
      <c r="CP263" s="433"/>
      <c r="CQ263" s="433"/>
      <c r="CR263" s="433"/>
      <c r="CS263" s="433"/>
      <c r="CT263" s="433"/>
      <c r="CU263" s="433"/>
      <c r="CV263" s="433"/>
      <c r="CW263" s="433"/>
      <c r="CX263" s="433"/>
      <c r="CY263" s="433"/>
      <c r="CZ263" s="433"/>
      <c r="DA263" s="433"/>
      <c r="DB263" s="433"/>
      <c r="DC263" s="433"/>
      <c r="DD263" s="433"/>
      <c r="DE263" s="433"/>
      <c r="DF263" s="433"/>
      <c r="DG263" s="433"/>
      <c r="DH263" s="433"/>
      <c r="DI263" s="435"/>
      <c r="DJ263" s="433"/>
      <c r="DK263" s="433"/>
      <c r="DL263" s="433"/>
      <c r="DM263" s="433"/>
      <c r="DN263" s="433"/>
      <c r="DO263" s="433"/>
      <c r="DP263" s="433"/>
      <c r="DQ263" s="433"/>
      <c r="DR263" s="433"/>
      <c r="DS263" s="433"/>
    </row>
    <row r="264" spans="1:123" s="432" customFormat="1" ht="19.5" customHeight="1">
      <c r="A264" s="2291"/>
      <c r="B264" s="2308"/>
      <c r="C264" s="1047"/>
      <c r="D264" s="525"/>
      <c r="E264" s="515"/>
      <c r="F264" s="515"/>
      <c r="G264" s="515"/>
      <c r="H264" s="525"/>
      <c r="I264" s="525"/>
      <c r="J264" s="757"/>
      <c r="K264" s="525"/>
      <c r="L264" s="757"/>
      <c r="M264" s="525"/>
      <c r="N264" s="822"/>
      <c r="O264" s="823"/>
      <c r="P264" s="823"/>
      <c r="Q264" s="605"/>
      <c r="R264" s="605"/>
      <c r="S264" s="1048"/>
      <c r="T264" s="1049"/>
      <c r="U264" s="603"/>
      <c r="V264" s="1050"/>
      <c r="W264" s="525"/>
      <c r="X264" s="1051"/>
      <c r="Y264" s="1052"/>
      <c r="Z264" s="933"/>
      <c r="AA264" s="933"/>
      <c r="AB264" s="891"/>
      <c r="AC264" s="525"/>
      <c r="AD264" s="524"/>
      <c r="AE264" s="868"/>
      <c r="AF264" s="757"/>
      <c r="AG264" s="525"/>
      <c r="AH264" s="477"/>
      <c r="AI264" s="477"/>
      <c r="AJ264" s="477"/>
      <c r="AK264" s="477"/>
      <c r="AL264" s="477"/>
      <c r="AM264" s="477"/>
      <c r="AN264" s="477"/>
      <c r="AO264" s="477"/>
      <c r="AP264" s="477"/>
      <c r="AQ264" s="477"/>
      <c r="AR264" s="477"/>
      <c r="AS264" s="477"/>
      <c r="AT264" s="477"/>
      <c r="AU264" s="477"/>
      <c r="AV264" s="477"/>
      <c r="AW264" s="477"/>
      <c r="AX264" s="477"/>
      <c r="AY264" s="477"/>
      <c r="AZ264" s="477"/>
      <c r="BA264" s="477"/>
      <c r="BB264" s="477"/>
      <c r="BC264" s="477"/>
      <c r="BD264" s="477"/>
      <c r="BE264" s="477"/>
      <c r="BF264" s="477"/>
      <c r="BG264" s="477"/>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433"/>
      <c r="CG264" s="433"/>
      <c r="CH264" s="433"/>
      <c r="CI264" s="433"/>
      <c r="CJ264" s="433"/>
      <c r="CK264" s="433"/>
      <c r="CL264" s="433"/>
      <c r="CM264" s="433"/>
      <c r="CN264" s="433"/>
      <c r="CO264" s="433"/>
      <c r="CP264" s="433"/>
      <c r="CQ264" s="433"/>
      <c r="CR264" s="433"/>
      <c r="CS264" s="433"/>
      <c r="CT264" s="433"/>
      <c r="CU264" s="433"/>
      <c r="CV264" s="433"/>
      <c r="CW264" s="433"/>
      <c r="CX264" s="433"/>
      <c r="CY264" s="433"/>
      <c r="CZ264" s="433"/>
      <c r="DA264" s="433"/>
      <c r="DB264" s="433"/>
      <c r="DC264" s="433"/>
      <c r="DD264" s="433"/>
      <c r="DE264" s="433"/>
      <c r="DF264" s="433"/>
      <c r="DG264" s="433"/>
      <c r="DH264" s="433"/>
      <c r="DI264" s="435"/>
      <c r="DJ264" s="433"/>
      <c r="DK264" s="433"/>
      <c r="DL264" s="433"/>
      <c r="DM264" s="433"/>
      <c r="DN264" s="433"/>
      <c r="DO264" s="433"/>
      <c r="DP264" s="433"/>
      <c r="DQ264" s="433"/>
      <c r="DR264" s="433"/>
      <c r="DS264" s="433"/>
    </row>
    <row r="265" spans="1:123" ht="19.5" customHeight="1" thickBot="1">
      <c r="A265" s="2292"/>
      <c r="B265" s="2331"/>
      <c r="C265" s="1053"/>
      <c r="D265" s="676"/>
      <c r="E265" s="616"/>
      <c r="F265" s="616"/>
      <c r="G265" s="616"/>
      <c r="H265" s="676"/>
      <c r="I265" s="676"/>
      <c r="J265" s="988"/>
      <c r="K265" s="676"/>
      <c r="L265" s="988"/>
      <c r="M265" s="676"/>
      <c r="N265" s="1032"/>
      <c r="O265" s="1033"/>
      <c r="P265" s="1033"/>
      <c r="Q265" s="1034"/>
      <c r="R265" s="1034"/>
      <c r="S265" s="1048"/>
      <c r="T265" s="1049"/>
      <c r="U265" s="603"/>
      <c r="V265" s="1050"/>
      <c r="W265" s="525"/>
      <c r="X265" s="1051"/>
      <c r="Y265" s="1052"/>
      <c r="Z265" s="933"/>
      <c r="AA265" s="933"/>
      <c r="AC265" s="525"/>
      <c r="AD265" s="675"/>
      <c r="AE265" s="784"/>
      <c r="AF265" s="757"/>
      <c r="AG265" s="525"/>
      <c r="AH265" s="477"/>
      <c r="AI265" s="477"/>
      <c r="AJ265" s="477"/>
      <c r="AK265" s="477"/>
      <c r="AL265" s="477"/>
      <c r="AM265" s="477"/>
      <c r="AN265" s="477"/>
      <c r="AO265" s="477"/>
      <c r="AP265" s="477"/>
      <c r="AQ265" s="477"/>
      <c r="AR265" s="477"/>
      <c r="AS265" s="477"/>
      <c r="AT265" s="477"/>
      <c r="AU265" s="477"/>
      <c r="AV265" s="477"/>
      <c r="AW265" s="477"/>
      <c r="AX265" s="477"/>
      <c r="AY265" s="477"/>
      <c r="AZ265" s="477"/>
      <c r="BA265" s="477"/>
      <c r="BB265" s="477"/>
      <c r="BC265" s="477"/>
      <c r="BD265" s="477"/>
      <c r="BE265" s="477"/>
      <c r="BF265" s="477"/>
      <c r="BG265" s="477"/>
    </row>
    <row r="266" spans="1:123" s="626" customFormat="1" ht="9" customHeight="1" thickBot="1">
      <c r="A266" s="540"/>
      <c r="B266" s="541"/>
      <c r="C266" s="444"/>
      <c r="D266" s="445"/>
      <c r="E266" s="445"/>
      <c r="F266" s="445"/>
      <c r="G266" s="445"/>
      <c r="H266" s="445"/>
      <c r="I266" s="445"/>
      <c r="J266" s="446"/>
      <c r="K266" s="445"/>
      <c r="L266" s="446"/>
      <c r="M266" s="447"/>
      <c r="N266" s="448"/>
      <c r="O266" s="449"/>
      <c r="P266" s="449"/>
      <c r="Q266" s="450"/>
      <c r="R266" s="450"/>
      <c r="S266" s="451"/>
      <c r="T266" s="451"/>
      <c r="U266" s="452"/>
      <c r="V266" s="453"/>
      <c r="W266" s="447"/>
      <c r="X266" s="447"/>
      <c r="Y266" s="451"/>
      <c r="Z266" s="451"/>
      <c r="AA266" s="451"/>
      <c r="AB266" s="454"/>
      <c r="AC266" s="447"/>
      <c r="AD266" s="447"/>
      <c r="AE266" s="447"/>
      <c r="AF266" s="455"/>
      <c r="AG266" s="447"/>
      <c r="AH266" s="653"/>
      <c r="AI266" s="653"/>
      <c r="AJ266" s="653"/>
      <c r="AK266" s="653"/>
      <c r="AL266" s="653"/>
      <c r="AM266" s="653"/>
      <c r="AN266" s="653"/>
      <c r="AO266" s="456"/>
      <c r="AP266" s="456"/>
      <c r="AQ266" s="456"/>
      <c r="AR266" s="456"/>
      <c r="AS266" s="456"/>
      <c r="AT266" s="456"/>
      <c r="AU266" s="456"/>
      <c r="AV266" s="456"/>
      <c r="AW266" s="456"/>
      <c r="AX266" s="456"/>
      <c r="AY266" s="456"/>
      <c r="AZ266" s="456"/>
      <c r="BA266" s="456"/>
      <c r="BB266" s="456"/>
      <c r="BC266" s="456"/>
      <c r="BD266" s="456"/>
      <c r="BE266" s="456"/>
      <c r="BF266" s="456"/>
      <c r="BG266" s="456"/>
      <c r="BH266" s="432"/>
      <c r="CF266" s="542"/>
      <c r="CG266" s="542"/>
      <c r="CH266" s="542"/>
      <c r="CI266" s="542"/>
      <c r="CJ266" s="542"/>
      <c r="CK266" s="542"/>
      <c r="CL266" s="542"/>
      <c r="CM266" s="542"/>
      <c r="CN266" s="542"/>
      <c r="CO266" s="542"/>
      <c r="CP266" s="542"/>
      <c r="CQ266" s="542"/>
      <c r="CR266" s="542"/>
      <c r="CS266" s="542"/>
      <c r="CT266" s="542"/>
      <c r="CU266" s="542"/>
      <c r="CV266" s="542"/>
      <c r="CW266" s="542"/>
      <c r="CX266" s="542"/>
      <c r="CY266" s="542"/>
      <c r="CZ266" s="542"/>
      <c r="DA266" s="542"/>
      <c r="DB266" s="542"/>
      <c r="DC266" s="542"/>
      <c r="DD266" s="542"/>
      <c r="DE266" s="542"/>
      <c r="DF266" s="542"/>
      <c r="DG266" s="542"/>
      <c r="DH266" s="542"/>
      <c r="DI266" s="543"/>
      <c r="DJ266" s="542"/>
      <c r="DK266" s="542"/>
      <c r="DL266" s="542"/>
      <c r="DM266" s="542"/>
      <c r="DN266" s="542"/>
      <c r="DO266" s="542"/>
      <c r="DP266" s="542"/>
      <c r="DQ266" s="542"/>
      <c r="DR266" s="542"/>
      <c r="DS266" s="542"/>
    </row>
    <row r="267" spans="1:123" ht="30" customHeight="1">
      <c r="A267" s="2290" t="s">
        <v>1229</v>
      </c>
      <c r="B267" s="984" t="s">
        <v>1208</v>
      </c>
      <c r="C267" s="832" t="s">
        <v>853</v>
      </c>
      <c r="D267" s="985" t="s">
        <v>1230</v>
      </c>
      <c r="E267" s="714">
        <v>48</v>
      </c>
      <c r="F267" s="971">
        <v>252.8792</v>
      </c>
      <c r="G267" s="971">
        <v>124.3673</v>
      </c>
      <c r="H267" s="716">
        <v>97928.28</v>
      </c>
      <c r="I267" s="717">
        <v>45776.62</v>
      </c>
      <c r="J267" s="791" t="s">
        <v>855</v>
      </c>
      <c r="K267" s="1054" t="s">
        <v>1231</v>
      </c>
      <c r="L267" s="1055" t="s">
        <v>35</v>
      </c>
      <c r="M267" s="1056" t="s">
        <v>35</v>
      </c>
      <c r="N267" s="835">
        <v>251.29249999999999</v>
      </c>
      <c r="O267" s="795">
        <v>8.4499999999999993</v>
      </c>
      <c r="P267" s="795">
        <v>29.74014</v>
      </c>
      <c r="Q267" s="485" t="s">
        <v>35</v>
      </c>
      <c r="R267" s="972">
        <f>N267</f>
        <v>251.29249999999999</v>
      </c>
      <c r="S267" s="667" t="s">
        <v>841</v>
      </c>
      <c r="T267" s="637" t="s">
        <v>842</v>
      </c>
      <c r="U267" s="560"/>
      <c r="V267" s="2332" t="s">
        <v>843</v>
      </c>
      <c r="W267" s="177" t="s">
        <v>175</v>
      </c>
      <c r="X267" s="177" t="s">
        <v>1232</v>
      </c>
      <c r="Y267" s="698">
        <f>((175*$R$267)+(0.634*$R$268)+$R$269+$T$274)*(1+$T$276)</f>
        <v>74824.214227439981</v>
      </c>
      <c r="Z267" s="2341">
        <f>Y268-Y267</f>
        <v>30530.284486680001</v>
      </c>
      <c r="AA267" s="2347">
        <f>(0.634-0.507)*$P$268</f>
        <v>7229.5528217900001</v>
      </c>
      <c r="AB267" s="907"/>
      <c r="AC267" s="525"/>
      <c r="AD267" s="975"/>
      <c r="AE267" s="976"/>
      <c r="AF267" s="791" t="s">
        <v>175</v>
      </c>
      <c r="AG267" s="177" t="s">
        <v>1232</v>
      </c>
      <c r="AH267" s="660">
        <f t="shared" ref="AH267:AH278" si="16">Y267</f>
        <v>74824.214227439981</v>
      </c>
      <c r="AI267" s="681"/>
      <c r="AJ267" s="681"/>
      <c r="AK267" s="681"/>
      <c r="AL267" s="681"/>
      <c r="AM267" s="681"/>
      <c r="AN267" s="681"/>
      <c r="AO267" s="477"/>
      <c r="AP267" s="477"/>
      <c r="AQ267" s="477"/>
      <c r="AR267" s="477"/>
      <c r="AS267" s="477"/>
      <c r="AT267" s="477"/>
      <c r="AU267" s="477"/>
      <c r="AV267" s="477"/>
      <c r="AW267" s="477"/>
      <c r="AX267" s="477"/>
      <c r="AY267" s="477"/>
      <c r="AZ267" s="477"/>
      <c r="BA267" s="477"/>
      <c r="BB267" s="477"/>
      <c r="BC267" s="477"/>
      <c r="BD267" s="477"/>
      <c r="BE267" s="477"/>
      <c r="BF267" s="477"/>
      <c r="BG267" s="477"/>
    </row>
    <row r="268" spans="1:123" ht="15" customHeight="1">
      <c r="A268" s="2291"/>
      <c r="B268" s="566" t="s">
        <v>1212</v>
      </c>
      <c r="C268" s="567" t="s">
        <v>853</v>
      </c>
      <c r="D268" s="568" t="s">
        <v>1233</v>
      </c>
      <c r="E268" s="714">
        <v>48</v>
      </c>
      <c r="F268" s="971">
        <v>0.62406300000000003</v>
      </c>
      <c r="G268" s="971">
        <v>7.9306000000000001E-2</v>
      </c>
      <c r="H268" s="716">
        <v>97928.28</v>
      </c>
      <c r="I268" s="717">
        <v>45776.62</v>
      </c>
      <c r="J268" s="810" t="s">
        <v>853</v>
      </c>
      <c r="K268" s="574" t="s">
        <v>1234</v>
      </c>
      <c r="L268" s="718" t="s">
        <v>35</v>
      </c>
      <c r="M268" s="719" t="s">
        <v>35</v>
      </c>
      <c r="N268" s="835">
        <v>-200329.95069999999</v>
      </c>
      <c r="O268" s="594">
        <v>-3.52</v>
      </c>
      <c r="P268" s="594">
        <v>56925.61277</v>
      </c>
      <c r="Q268" s="577" t="s">
        <v>35</v>
      </c>
      <c r="R268" s="486">
        <f>N268</f>
        <v>-200329.95069999999</v>
      </c>
      <c r="S268" s="178" t="s">
        <v>1135</v>
      </c>
      <c r="T268" s="494" t="s">
        <v>1065</v>
      </c>
      <c r="U268" s="591"/>
      <c r="V268" s="2333"/>
      <c r="W268" s="92" t="s">
        <v>174</v>
      </c>
      <c r="X268" s="92" t="s">
        <v>1235</v>
      </c>
      <c r="Y268" s="698">
        <f>((175*$R$267)+(0.507*$R$268)+$R$269+$T$274)*(1+$T$276)</f>
        <v>105354.49871411998</v>
      </c>
      <c r="Z268" s="2341"/>
      <c r="AA268" s="2342"/>
      <c r="AB268" s="907"/>
      <c r="AC268" s="525"/>
      <c r="AD268" s="524"/>
      <c r="AE268" s="525"/>
      <c r="AF268" s="573" t="s">
        <v>174</v>
      </c>
      <c r="AG268" s="92" t="s">
        <v>1235</v>
      </c>
      <c r="AH268" s="660">
        <f t="shared" si="16"/>
        <v>105354.49871411998</v>
      </c>
      <c r="AI268" s="681"/>
      <c r="AJ268" s="681"/>
      <c r="AK268" s="681"/>
      <c r="AL268" s="681">
        <f>591.08*175</f>
        <v>103439</v>
      </c>
      <c r="AM268" s="681"/>
      <c r="AN268" s="681"/>
      <c r="AO268" s="477"/>
      <c r="AP268" s="477"/>
      <c r="AQ268" s="477"/>
      <c r="AR268" s="477"/>
      <c r="AS268" s="477"/>
      <c r="AT268" s="477"/>
      <c r="AU268" s="477"/>
      <c r="AV268" s="477"/>
      <c r="AW268" s="477"/>
      <c r="AX268" s="477"/>
      <c r="AY268" s="477"/>
      <c r="AZ268" s="477"/>
      <c r="BA268" s="477"/>
      <c r="BB268" s="477"/>
      <c r="BC268" s="477"/>
      <c r="BD268" s="477"/>
      <c r="BE268" s="477"/>
      <c r="BF268" s="477"/>
      <c r="BG268" s="477"/>
    </row>
    <row r="269" spans="1:123" ht="15" customHeight="1">
      <c r="A269" s="2291"/>
      <c r="B269" s="2348" t="s">
        <v>1217</v>
      </c>
      <c r="C269" s="2345" t="s">
        <v>862</v>
      </c>
      <c r="D269" s="568" t="s">
        <v>1236</v>
      </c>
      <c r="E269" s="714">
        <v>10</v>
      </c>
      <c r="F269" s="585" t="s">
        <v>35</v>
      </c>
      <c r="G269" s="585" t="s">
        <v>35</v>
      </c>
      <c r="H269" s="716">
        <v>116440</v>
      </c>
      <c r="I269" s="717">
        <v>17458.79</v>
      </c>
      <c r="J269" s="2351" t="s">
        <v>862</v>
      </c>
      <c r="K269" s="574" t="s">
        <v>1236</v>
      </c>
      <c r="L269" s="718" t="s">
        <v>35</v>
      </c>
      <c r="M269" s="719" t="s">
        <v>35</v>
      </c>
      <c r="N269" s="835">
        <v>-18496.303400000001</v>
      </c>
      <c r="O269" s="594">
        <v>-2.93</v>
      </c>
      <c r="P269" s="594">
        <v>6309.6350899999998</v>
      </c>
      <c r="Q269" s="577" t="s">
        <v>35</v>
      </c>
      <c r="R269" s="486">
        <f>N269</f>
        <v>-18496.303400000001</v>
      </c>
      <c r="S269" s="667" t="s">
        <v>858</v>
      </c>
      <c r="T269" s="511" t="s">
        <v>859</v>
      </c>
      <c r="U269" s="470"/>
      <c r="V269" s="2333"/>
      <c r="W269" s="92" t="s">
        <v>175</v>
      </c>
      <c r="X269" s="92" t="s">
        <v>1237</v>
      </c>
      <c r="Y269" s="698">
        <f>((300*$R$267)+(0.576*$R$268)+$R$269+$T$274)*(1+$T$276)</f>
        <v>126461.05379615999</v>
      </c>
      <c r="Z269" s="2341">
        <f>Y270-Y269</f>
        <v>27645.533196599994</v>
      </c>
      <c r="AA269" s="2342">
        <f>(0.576-0.461)*$P$268</f>
        <v>6546.4454685499959</v>
      </c>
      <c r="AB269" s="907"/>
      <c r="AC269" s="525"/>
      <c r="AD269" s="524"/>
      <c r="AE269" s="525"/>
      <c r="AF269" s="573" t="s">
        <v>175</v>
      </c>
      <c r="AG269" s="92" t="s">
        <v>1237</v>
      </c>
      <c r="AH269" s="660">
        <f t="shared" si="16"/>
        <v>126461.05379615999</v>
      </c>
      <c r="AI269" s="2339">
        <f>121338*1.2</f>
        <v>145605.6</v>
      </c>
      <c r="AJ269" s="681">
        <f>337*300</f>
        <v>101100</v>
      </c>
      <c r="AK269" s="681"/>
      <c r="AL269" s="681"/>
      <c r="AM269" s="681"/>
      <c r="AN269" s="681"/>
      <c r="AO269" s="477"/>
      <c r="AP269" s="477"/>
      <c r="AQ269" s="477"/>
      <c r="AR269" s="477"/>
      <c r="AS269" s="477"/>
      <c r="AT269" s="477"/>
      <c r="AU269" s="477"/>
      <c r="AV269" s="477"/>
      <c r="AW269" s="477"/>
      <c r="AX269" s="477"/>
      <c r="AY269" s="477"/>
      <c r="AZ269" s="477"/>
      <c r="BA269" s="477"/>
      <c r="BB269" s="477"/>
      <c r="BC269" s="477"/>
      <c r="BD269" s="477"/>
      <c r="BE269" s="477"/>
      <c r="BF269" s="477"/>
      <c r="BG269" s="477"/>
    </row>
    <row r="270" spans="1:123" ht="15" customHeight="1">
      <c r="A270" s="2291"/>
      <c r="B270" s="2349"/>
      <c r="C270" s="2345"/>
      <c r="D270" s="568" t="s">
        <v>1218</v>
      </c>
      <c r="E270" s="714">
        <v>31</v>
      </c>
      <c r="F270" s="585" t="s">
        <v>35</v>
      </c>
      <c r="G270" s="585" t="s">
        <v>35</v>
      </c>
      <c r="H270" s="716">
        <v>105028.47</v>
      </c>
      <c r="I270" s="717">
        <v>46995.32</v>
      </c>
      <c r="J270" s="2351"/>
      <c r="K270" s="574" t="s">
        <v>1218</v>
      </c>
      <c r="L270" s="718" t="s">
        <v>35</v>
      </c>
      <c r="M270" s="719" t="s">
        <v>35</v>
      </c>
      <c r="N270" s="835">
        <v>0</v>
      </c>
      <c r="O270" s="594" t="s">
        <v>847</v>
      </c>
      <c r="P270" s="594" t="s">
        <v>847</v>
      </c>
      <c r="Q270" s="577" t="s">
        <v>35</v>
      </c>
      <c r="R270" s="486">
        <f>N270</f>
        <v>0</v>
      </c>
      <c r="S270" s="748" t="s">
        <v>310</v>
      </c>
      <c r="T270" s="987" t="s">
        <v>1019</v>
      </c>
      <c r="U270" s="591"/>
      <c r="V270" s="2333"/>
      <c r="W270" s="92" t="s">
        <v>174</v>
      </c>
      <c r="X270" s="92" t="s">
        <v>1238</v>
      </c>
      <c r="Y270" s="698">
        <f>((300*$R$267)+(0.461*$R$268)+$R$269+$T$274)*(1+$T$276)</f>
        <v>154106.58699275999</v>
      </c>
      <c r="Z270" s="2341"/>
      <c r="AA270" s="2342"/>
      <c r="AB270" s="907"/>
      <c r="AC270" s="525"/>
      <c r="AD270" s="524"/>
      <c r="AE270" s="525"/>
      <c r="AF270" s="573" t="s">
        <v>174</v>
      </c>
      <c r="AG270" s="92" t="s">
        <v>1238</v>
      </c>
      <c r="AH270" s="660">
        <f t="shared" si="16"/>
        <v>154106.58699275999</v>
      </c>
      <c r="AI270" s="2339"/>
      <c r="AJ270" s="681">
        <f>353*300</f>
        <v>105900</v>
      </c>
      <c r="AK270" s="681"/>
      <c r="AL270" s="681">
        <f>279.01*300</f>
        <v>83703</v>
      </c>
      <c r="AM270" s="681"/>
      <c r="AN270" s="681"/>
      <c r="AO270" s="477"/>
      <c r="AP270" s="477"/>
      <c r="AQ270" s="477"/>
      <c r="AR270" s="477"/>
      <c r="AS270" s="477"/>
      <c r="AT270" s="477"/>
      <c r="AU270" s="477"/>
      <c r="AV270" s="477"/>
      <c r="AW270" s="477"/>
      <c r="AX270" s="477"/>
      <c r="AY270" s="477"/>
      <c r="AZ270" s="477"/>
      <c r="BA270" s="477"/>
      <c r="BB270" s="477"/>
      <c r="BC270" s="477"/>
      <c r="BD270" s="477"/>
      <c r="BE270" s="477"/>
      <c r="BF270" s="477"/>
      <c r="BG270" s="477"/>
    </row>
    <row r="271" spans="1:123" ht="15" customHeight="1">
      <c r="A271" s="2291"/>
      <c r="B271" s="2349"/>
      <c r="C271" s="2345"/>
      <c r="D271" s="568" t="s">
        <v>1220</v>
      </c>
      <c r="E271" s="714">
        <v>7</v>
      </c>
      <c r="F271" s="585" t="s">
        <v>35</v>
      </c>
      <c r="G271" s="585" t="s">
        <v>35</v>
      </c>
      <c r="H271" s="716">
        <v>40039.29</v>
      </c>
      <c r="I271" s="717">
        <v>13170.43</v>
      </c>
      <c r="J271" s="2351"/>
      <c r="K271" s="572" t="s">
        <v>35</v>
      </c>
      <c r="L271" s="718" t="s">
        <v>35</v>
      </c>
      <c r="M271" s="719" t="s">
        <v>35</v>
      </c>
      <c r="N271" s="835">
        <v>-4315.6963999999998</v>
      </c>
      <c r="O271" s="594">
        <v>-0.57999999999999996</v>
      </c>
      <c r="P271" s="594">
        <v>7472.9398600000004</v>
      </c>
      <c r="Q271" s="577" t="s">
        <v>35</v>
      </c>
      <c r="R271" s="486">
        <f>N271</f>
        <v>-4315.6963999999998</v>
      </c>
      <c r="S271" s="667" t="s">
        <v>868</v>
      </c>
      <c r="T271" s="592" t="s">
        <v>869</v>
      </c>
      <c r="U271" s="560"/>
      <c r="V271" s="2333"/>
      <c r="W271" s="92" t="s">
        <v>175</v>
      </c>
      <c r="X271" s="92" t="s">
        <v>1239</v>
      </c>
      <c r="Y271" s="698">
        <f>((100*$R$267)+(0.7*$R$268)+$R$269+$T$274)*(1+$T$276)</f>
        <v>36341.757132000006</v>
      </c>
      <c r="Z271" s="2341">
        <f>Y272-Y271</f>
        <v>33655.431717599968</v>
      </c>
      <c r="AA271" s="2342">
        <f>(0.7-0.56)*$P$268</f>
        <v>7969.5857877999943</v>
      </c>
      <c r="AB271" s="907"/>
      <c r="AC271" s="525"/>
      <c r="AD271" s="524"/>
      <c r="AE271" s="525"/>
      <c r="AF271" s="573" t="s">
        <v>175</v>
      </c>
      <c r="AG271" s="92" t="s">
        <v>1239</v>
      </c>
      <c r="AH271" s="660">
        <f t="shared" si="16"/>
        <v>36341.757132000006</v>
      </c>
      <c r="AI271" s="2339">
        <f>41720*1.2</f>
        <v>50064</v>
      </c>
      <c r="AJ271" s="681"/>
      <c r="AK271" s="681"/>
      <c r="AL271" s="681"/>
      <c r="AM271" s="681"/>
      <c r="AN271" s="681"/>
      <c r="AO271" s="477"/>
      <c r="AP271" s="477"/>
      <c r="AQ271" s="477"/>
      <c r="AR271" s="477"/>
      <c r="AS271" s="477"/>
      <c r="AT271" s="477"/>
      <c r="AU271" s="477"/>
      <c r="AV271" s="477"/>
      <c r="AW271" s="477"/>
      <c r="AX271" s="477"/>
      <c r="AY271" s="477"/>
      <c r="AZ271" s="477"/>
      <c r="BA271" s="477"/>
      <c r="BB271" s="477"/>
      <c r="BC271" s="477"/>
      <c r="BD271" s="477"/>
      <c r="BE271" s="477"/>
      <c r="BF271" s="477"/>
      <c r="BG271" s="477"/>
    </row>
    <row r="272" spans="1:123" ht="15" customHeight="1">
      <c r="A272" s="2291"/>
      <c r="B272" s="2350"/>
      <c r="C272" s="2326"/>
      <c r="D272" s="1057" t="s">
        <v>1223</v>
      </c>
      <c r="E272" s="646" t="s">
        <v>35</v>
      </c>
      <c r="F272" s="646" t="s">
        <v>35</v>
      </c>
      <c r="G272" s="646" t="s">
        <v>35</v>
      </c>
      <c r="H272" s="646" t="s">
        <v>35</v>
      </c>
      <c r="I272" s="650" t="s">
        <v>35</v>
      </c>
      <c r="J272" s="2352"/>
      <c r="K272" s="1003" t="s">
        <v>1223</v>
      </c>
      <c r="L272" s="735" t="s">
        <v>35</v>
      </c>
      <c r="M272" s="520" t="s">
        <v>35</v>
      </c>
      <c r="N272" s="1058" t="s">
        <v>35</v>
      </c>
      <c r="O272" s="1059" t="s">
        <v>35</v>
      </c>
      <c r="P272" s="1059" t="s">
        <v>35</v>
      </c>
      <c r="Q272" s="1060" t="s">
        <v>35</v>
      </c>
      <c r="R272" s="1060" t="s">
        <v>35</v>
      </c>
      <c r="S272" s="564">
        <v>48</v>
      </c>
      <c r="T272" s="811" t="s">
        <v>35</v>
      </c>
      <c r="U272" s="452"/>
      <c r="V272" s="2333"/>
      <c r="W272" s="92" t="s">
        <v>174</v>
      </c>
      <c r="X272" s="92" t="s">
        <v>1240</v>
      </c>
      <c r="Y272" s="698">
        <f>((100*$R$267)+(0.56*$R$268)+$R$269+$T$274)*(1+$T$276)</f>
        <v>69997.188849599974</v>
      </c>
      <c r="Z272" s="2341"/>
      <c r="AA272" s="2342"/>
      <c r="AB272" s="907"/>
      <c r="AC272" s="525"/>
      <c r="AD272" s="524"/>
      <c r="AE272" s="525"/>
      <c r="AF272" s="573" t="s">
        <v>174</v>
      </c>
      <c r="AG272" s="92" t="s">
        <v>1240</v>
      </c>
      <c r="AH272" s="660">
        <f t="shared" si="16"/>
        <v>69997.188849599974</v>
      </c>
      <c r="AI272" s="2339"/>
      <c r="AJ272" s="681"/>
      <c r="AK272" s="681"/>
      <c r="AL272" s="681">
        <f>670.26*100</f>
        <v>67026</v>
      </c>
      <c r="AM272" s="681"/>
      <c r="AN272" s="681"/>
      <c r="AO272" s="477"/>
      <c r="AP272" s="477"/>
      <c r="AQ272" s="477"/>
      <c r="AR272" s="477"/>
      <c r="AS272" s="477"/>
      <c r="AT272" s="477"/>
      <c r="AU272" s="477"/>
      <c r="AV272" s="477"/>
      <c r="AW272" s="477"/>
      <c r="AX272" s="477"/>
      <c r="AY272" s="477"/>
      <c r="AZ272" s="477"/>
      <c r="BA272" s="477"/>
      <c r="BB272" s="477"/>
      <c r="BC272" s="477"/>
      <c r="BD272" s="477"/>
      <c r="BE272" s="477"/>
      <c r="BF272" s="477"/>
      <c r="BG272" s="477"/>
    </row>
    <row r="273" spans="1:123" ht="15" customHeight="1">
      <c r="A273" s="2291"/>
      <c r="B273" s="2307" t="s">
        <v>1021</v>
      </c>
      <c r="C273" s="522"/>
      <c r="D273" s="521"/>
      <c r="E273" s="521"/>
      <c r="F273" s="521"/>
      <c r="G273" s="521"/>
      <c r="H273" s="521"/>
      <c r="I273" s="521"/>
      <c r="J273" s="750"/>
      <c r="K273" s="521"/>
      <c r="L273" s="750"/>
      <c r="M273" s="521"/>
      <c r="N273" s="1044"/>
      <c r="O273" s="1045"/>
      <c r="P273" s="1045"/>
      <c r="Q273" s="753"/>
      <c r="R273" s="1046"/>
      <c r="S273" s="587" t="s">
        <v>876</v>
      </c>
      <c r="T273" s="592" t="s">
        <v>877</v>
      </c>
      <c r="U273" s="560"/>
      <c r="V273" s="2333"/>
      <c r="W273" s="92" t="s">
        <v>175</v>
      </c>
      <c r="X273" s="92" t="s">
        <v>1241</v>
      </c>
      <c r="Y273" s="698">
        <f>((225*$R$267)+(0.718*$R$268)+$R$270+$T$274)*(1+$T$276)</f>
        <v>91904.069276880022</v>
      </c>
      <c r="Z273" s="2341">
        <f>Y274-Y273</f>
        <v>34617.015480959977</v>
      </c>
      <c r="AA273" s="2342">
        <f>(0.718-0.574)*$P$268</f>
        <v>8197.2882388800008</v>
      </c>
      <c r="AB273" s="907"/>
      <c r="AC273" s="525"/>
      <c r="AD273" s="524"/>
      <c r="AE273" s="525"/>
      <c r="AF273" s="573" t="s">
        <v>175</v>
      </c>
      <c r="AG273" s="92" t="s">
        <v>1241</v>
      </c>
      <c r="AH273" s="660">
        <f t="shared" si="16"/>
        <v>91904.069276880022</v>
      </c>
      <c r="AI273" s="842"/>
      <c r="AJ273" s="681"/>
      <c r="AK273" s="681">
        <f>347*225</f>
        <v>78075</v>
      </c>
      <c r="AL273" s="681">
        <f>361.01*225</f>
        <v>81227.25</v>
      </c>
      <c r="AM273" s="2339">
        <f>AVERAGE(85772,103554)</f>
        <v>94663</v>
      </c>
      <c r="AN273" s="681">
        <f>363.24*225</f>
        <v>81729</v>
      </c>
      <c r="AO273" s="477"/>
      <c r="AP273" s="477"/>
      <c r="AQ273" s="477"/>
      <c r="AR273" s="477"/>
      <c r="AS273" s="477"/>
      <c r="AT273" s="477"/>
      <c r="AU273" s="477"/>
      <c r="AV273" s="477"/>
      <c r="AW273" s="477"/>
      <c r="AX273" s="477"/>
      <c r="AY273" s="477"/>
      <c r="AZ273" s="477"/>
      <c r="BA273" s="477"/>
      <c r="BB273" s="477"/>
      <c r="BC273" s="477"/>
      <c r="BD273" s="477"/>
      <c r="BE273" s="477"/>
      <c r="BF273" s="477"/>
      <c r="BG273" s="477"/>
    </row>
    <row r="274" spans="1:123" ht="15" customHeight="1">
      <c r="A274" s="2291"/>
      <c r="B274" s="2308"/>
      <c r="C274" s="515"/>
      <c r="D274" s="525"/>
      <c r="E274" s="525"/>
      <c r="F274" s="525"/>
      <c r="G274" s="525"/>
      <c r="H274" s="525"/>
      <c r="I274" s="525"/>
      <c r="J274" s="757"/>
      <c r="K274" s="525"/>
      <c r="L274" s="757"/>
      <c r="M274" s="525"/>
      <c r="N274" s="822"/>
      <c r="O274" s="823"/>
      <c r="P274" s="823"/>
      <c r="Q274" s="605"/>
      <c r="R274" s="1030"/>
      <c r="S274" s="669">
        <v>0.90649599999999997</v>
      </c>
      <c r="T274" s="670">
        <v>163882.81649999999</v>
      </c>
      <c r="U274" s="600"/>
      <c r="V274" s="2333"/>
      <c r="W274" s="92" t="s">
        <v>174</v>
      </c>
      <c r="X274" s="92" t="s">
        <v>1242</v>
      </c>
      <c r="Y274" s="698">
        <f>((225*$R$267)+(0.574*$R$268)+$R$270+$T$274)*(1+$T$276)</f>
        <v>126521.08475784</v>
      </c>
      <c r="Z274" s="2341"/>
      <c r="AA274" s="2342"/>
      <c r="AB274" s="907"/>
      <c r="AC274" s="525"/>
      <c r="AD274" s="524"/>
      <c r="AE274" s="525"/>
      <c r="AF274" s="573" t="s">
        <v>174</v>
      </c>
      <c r="AG274" s="92" t="s">
        <v>1242</v>
      </c>
      <c r="AH274" s="660">
        <f t="shared" si="16"/>
        <v>126521.08475784</v>
      </c>
      <c r="AI274" s="842"/>
      <c r="AJ274" s="681"/>
      <c r="AK274" s="681">
        <f>372*225</f>
        <v>83700</v>
      </c>
      <c r="AL274" s="681">
        <f>431.02*225</f>
        <v>96979.5</v>
      </c>
      <c r="AM274" s="2339"/>
      <c r="AN274" s="681"/>
      <c r="AO274" s="477"/>
      <c r="AP274" s="477"/>
      <c r="AQ274" s="477"/>
      <c r="AR274" s="477"/>
      <c r="AS274" s="477"/>
      <c r="AT274" s="477"/>
      <c r="AU274" s="477"/>
      <c r="AV274" s="477"/>
      <c r="AW274" s="477"/>
      <c r="AX274" s="477"/>
      <c r="AY274" s="477"/>
      <c r="AZ274" s="477"/>
      <c r="BA274" s="477"/>
      <c r="BB274" s="477"/>
      <c r="BC274" s="477"/>
      <c r="BD274" s="477"/>
      <c r="BE274" s="477"/>
      <c r="BF274" s="477"/>
      <c r="BG274" s="477"/>
    </row>
    <row r="275" spans="1:123" ht="15" customHeight="1">
      <c r="A275" s="2291"/>
      <c r="B275" s="2308"/>
      <c r="C275" s="515"/>
      <c r="D275" s="525"/>
      <c r="E275" s="525"/>
      <c r="F275" s="525"/>
      <c r="G275" s="525"/>
      <c r="H275" s="525"/>
      <c r="I275" s="525"/>
      <c r="J275" s="757"/>
      <c r="K275" s="525"/>
      <c r="L275" s="757"/>
      <c r="M275" s="525"/>
      <c r="N275" s="822"/>
      <c r="O275" s="823"/>
      <c r="P275" s="823"/>
      <c r="Q275" s="605"/>
      <c r="R275" s="1030"/>
      <c r="S275" s="601" t="s">
        <v>883</v>
      </c>
      <c r="T275" s="511" t="s">
        <v>884</v>
      </c>
      <c r="U275" s="470"/>
      <c r="V275" s="2333"/>
      <c r="W275" s="92" t="s">
        <v>175</v>
      </c>
      <c r="X275" s="92" t="s">
        <v>1243</v>
      </c>
      <c r="Y275" s="698">
        <f>((300*$R$267)+(0.639*$R$268)+$R$270+$T$274)*(1+$T$276)</f>
        <v>133511.67360323999</v>
      </c>
      <c r="Z275" s="2341">
        <f>Y276-Y275</f>
        <v>30770.680427519983</v>
      </c>
      <c r="AA275" s="2342">
        <f>(0.639-0.511)*$P$268</f>
        <v>7286.4784345600001</v>
      </c>
      <c r="AB275" s="907"/>
      <c r="AC275" s="525"/>
      <c r="AD275" s="524"/>
      <c r="AE275" s="525"/>
      <c r="AF275" s="573" t="s">
        <v>175</v>
      </c>
      <c r="AG275" s="92" t="s">
        <v>1243</v>
      </c>
      <c r="AH275" s="660">
        <f t="shared" si="16"/>
        <v>133511.67360323999</v>
      </c>
      <c r="AI275" s="2339">
        <f>121338*1.2</f>
        <v>145605.6</v>
      </c>
      <c r="AJ275" s="681"/>
      <c r="AK275" s="681"/>
      <c r="AL275" s="681">
        <f>293.32*300</f>
        <v>87996</v>
      </c>
      <c r="AM275" s="2339">
        <v>119767</v>
      </c>
      <c r="AN275" s="681">
        <f>288.81*300</f>
        <v>86643</v>
      </c>
      <c r="AO275" s="477"/>
      <c r="AP275" s="477"/>
      <c r="AQ275" s="477"/>
      <c r="AR275" s="477"/>
      <c r="AS275" s="477"/>
      <c r="AT275" s="477"/>
      <c r="AU275" s="477"/>
      <c r="AV275" s="477"/>
      <c r="AW275" s="477"/>
      <c r="AX275" s="477"/>
      <c r="AY275" s="477"/>
      <c r="AZ275" s="477"/>
      <c r="BA275" s="477"/>
      <c r="BB275" s="477"/>
      <c r="BC275" s="477"/>
      <c r="BD275" s="477"/>
      <c r="BE275" s="477"/>
      <c r="BF275" s="477"/>
      <c r="BG275" s="477"/>
    </row>
    <row r="276" spans="1:123" ht="15" customHeight="1">
      <c r="A276" s="2291"/>
      <c r="B276" s="2308"/>
      <c r="C276" s="1047"/>
      <c r="D276" s="525"/>
      <c r="E276" s="525"/>
      <c r="F276" s="525"/>
      <c r="G276" s="525"/>
      <c r="H276" s="525"/>
      <c r="I276" s="525"/>
      <c r="J276" s="757"/>
      <c r="K276" s="525"/>
      <c r="L276" s="757"/>
      <c r="M276" s="525"/>
      <c r="N276" s="822"/>
      <c r="O276" s="823"/>
      <c r="P276" s="823"/>
      <c r="Q276" s="605"/>
      <c r="R276" s="1030"/>
      <c r="S276" s="568">
        <v>10905.322</v>
      </c>
      <c r="T276" s="513">
        <v>0.2</v>
      </c>
      <c r="U276" s="603"/>
      <c r="V276" s="2333"/>
      <c r="W276" s="92" t="s">
        <v>174</v>
      </c>
      <c r="X276" s="92" t="s">
        <v>1244</v>
      </c>
      <c r="Y276" s="698">
        <f>((300*$R$267)+(0.511*$R$268)+$R$270+$T$274)*(1+$T$276)</f>
        <v>164282.35403075998</v>
      </c>
      <c r="Z276" s="2341"/>
      <c r="AA276" s="2342"/>
      <c r="AB276" s="907"/>
      <c r="AC276" s="525"/>
      <c r="AD276" s="524"/>
      <c r="AE276" s="525"/>
      <c r="AF276" s="573" t="s">
        <v>174</v>
      </c>
      <c r="AG276" s="92" t="s">
        <v>1244</v>
      </c>
      <c r="AH276" s="660">
        <f t="shared" si="16"/>
        <v>164282.35403075998</v>
      </c>
      <c r="AI276" s="2339"/>
      <c r="AJ276" s="681"/>
      <c r="AK276" s="681"/>
      <c r="AL276" s="681">
        <f>341.32*300</f>
        <v>102396</v>
      </c>
      <c r="AM276" s="2339"/>
      <c r="AN276" s="681"/>
      <c r="AO276" s="477"/>
      <c r="AP276" s="477"/>
      <c r="AQ276" s="477"/>
      <c r="AR276" s="477"/>
      <c r="AS276" s="477"/>
      <c r="AT276" s="477"/>
      <c r="AU276" s="477"/>
      <c r="AV276" s="477"/>
      <c r="AW276" s="477"/>
      <c r="AX276" s="477"/>
      <c r="AY276" s="477"/>
      <c r="AZ276" s="477"/>
      <c r="BA276" s="477"/>
      <c r="BB276" s="477"/>
      <c r="BC276" s="477"/>
      <c r="BD276" s="477"/>
      <c r="BE276" s="477"/>
      <c r="BF276" s="477"/>
      <c r="BG276" s="477"/>
    </row>
    <row r="277" spans="1:123" ht="15" customHeight="1">
      <c r="A277" s="2291"/>
      <c r="B277" s="2308"/>
      <c r="C277" s="1047"/>
      <c r="D277" s="525"/>
      <c r="E277" s="525"/>
      <c r="F277" s="525"/>
      <c r="G277" s="525"/>
      <c r="H277" s="525"/>
      <c r="I277" s="525"/>
      <c r="J277" s="757"/>
      <c r="K277" s="525"/>
      <c r="L277" s="757"/>
      <c r="M277" s="525"/>
      <c r="N277" s="822"/>
      <c r="O277" s="823"/>
      <c r="P277" s="823"/>
      <c r="Q277" s="605"/>
      <c r="R277" s="605"/>
      <c r="S277" s="525"/>
      <c r="T277" s="525"/>
      <c r="V277" s="2333"/>
      <c r="W277" s="92" t="s">
        <v>175</v>
      </c>
      <c r="X277" s="92" t="s">
        <v>1245</v>
      </c>
      <c r="Y277" s="698">
        <f>((100*$R$267)+(0.79*$R$268)+$R$270+$T$274)*(1+$T$276)</f>
        <v>36901.686536399997</v>
      </c>
      <c r="Z277" s="2341">
        <f>Y278-Y277</f>
        <v>37982.558652719992</v>
      </c>
      <c r="AA277" s="2342">
        <f>(0.79-0.632)*$P$268</f>
        <v>8994.2468176600014</v>
      </c>
      <c r="AB277" s="907"/>
      <c r="AC277" s="525"/>
      <c r="AD277" s="524"/>
      <c r="AE277" s="525"/>
      <c r="AF277" s="573" t="s">
        <v>175</v>
      </c>
      <c r="AG277" s="92" t="s">
        <v>1245</v>
      </c>
      <c r="AH277" s="660">
        <f t="shared" si="16"/>
        <v>36901.686536399997</v>
      </c>
      <c r="AI277" s="2339">
        <f>41720*1.2</f>
        <v>50064</v>
      </c>
      <c r="AJ277" s="681"/>
      <c r="AK277" s="681">
        <f>443*100</f>
        <v>44300</v>
      </c>
      <c r="AL277" s="681">
        <f>475.38*100</f>
        <v>47538</v>
      </c>
      <c r="AM277" s="2339">
        <v>57530</v>
      </c>
      <c r="AN277" s="681">
        <f>454.88*100</f>
        <v>45488</v>
      </c>
      <c r="AO277" s="477"/>
      <c r="AP277" s="477"/>
      <c r="AQ277" s="477"/>
      <c r="AR277" s="477"/>
      <c r="AS277" s="477"/>
      <c r="AT277" s="477"/>
      <c r="AU277" s="477"/>
      <c r="AV277" s="477"/>
      <c r="AW277" s="477"/>
      <c r="AX277" s="477"/>
      <c r="AY277" s="477"/>
      <c r="AZ277" s="477"/>
      <c r="BA277" s="477"/>
      <c r="BB277" s="477"/>
      <c r="BC277" s="477"/>
      <c r="BD277" s="477"/>
      <c r="BE277" s="477"/>
      <c r="BF277" s="477"/>
      <c r="BG277" s="477"/>
    </row>
    <row r="278" spans="1:123" ht="15.75" customHeight="1" thickBot="1">
      <c r="A278" s="2291"/>
      <c r="B278" s="2308"/>
      <c r="C278" s="1047"/>
      <c r="D278" s="525"/>
      <c r="E278" s="525"/>
      <c r="F278" s="525"/>
      <c r="G278" s="525"/>
      <c r="H278" s="525"/>
      <c r="I278" s="525"/>
      <c r="J278" s="757"/>
      <c r="K278" s="525"/>
      <c r="L278" s="757"/>
      <c r="M278" s="525"/>
      <c r="N278" s="822"/>
      <c r="O278" s="823"/>
      <c r="P278" s="823"/>
      <c r="Q278" s="605"/>
      <c r="R278" s="605"/>
      <c r="S278" s="525"/>
      <c r="T278" s="525"/>
      <c r="V278" s="2338"/>
      <c r="W278" s="745" t="s">
        <v>174</v>
      </c>
      <c r="X278" s="745" t="s">
        <v>1246</v>
      </c>
      <c r="Y278" s="838">
        <f>((100*$R$267)+(0.632*$R$268)+$R$270+$T$274)*(1+$T$276)</f>
        <v>74884.245189119989</v>
      </c>
      <c r="Z278" s="2343"/>
      <c r="AA278" s="2344"/>
      <c r="AB278" s="907"/>
      <c r="AC278" s="525"/>
      <c r="AD278" s="524"/>
      <c r="AE278" s="525"/>
      <c r="AF278" s="1061" t="s">
        <v>174</v>
      </c>
      <c r="AG278" s="92" t="s">
        <v>1246</v>
      </c>
      <c r="AH278" s="660">
        <f t="shared" si="16"/>
        <v>74884.245189119989</v>
      </c>
      <c r="AI278" s="2339"/>
      <c r="AJ278" s="681"/>
      <c r="AK278" s="681">
        <f>492*100</f>
        <v>49200</v>
      </c>
      <c r="AL278" s="681">
        <f>603.51*100</f>
        <v>60351</v>
      </c>
      <c r="AM278" s="2339"/>
      <c r="AN278" s="681"/>
      <c r="AO278" s="477"/>
      <c r="AP278" s="477"/>
      <c r="AQ278" s="477"/>
      <c r="AR278" s="477"/>
      <c r="AS278" s="477"/>
      <c r="AT278" s="477"/>
      <c r="AU278" s="477"/>
      <c r="AV278" s="477"/>
      <c r="AW278" s="477"/>
      <c r="AX278" s="477"/>
      <c r="AY278" s="477"/>
      <c r="AZ278" s="477"/>
      <c r="BA278" s="477"/>
      <c r="BB278" s="477"/>
      <c r="BC278" s="477"/>
      <c r="BD278" s="477"/>
      <c r="BE278" s="477"/>
      <c r="BF278" s="477"/>
      <c r="BG278" s="477"/>
    </row>
    <row r="279" spans="1:123" s="626" customFormat="1" ht="9" customHeight="1" thickBot="1">
      <c r="A279" s="540"/>
      <c r="B279" s="541"/>
      <c r="C279" s="444"/>
      <c r="D279" s="445"/>
      <c r="E279" s="445"/>
      <c r="F279" s="445"/>
      <c r="G279" s="445"/>
      <c r="H279" s="445"/>
      <c r="I279" s="445"/>
      <c r="J279" s="446"/>
      <c r="K279" s="445"/>
      <c r="L279" s="446"/>
      <c r="M279" s="447"/>
      <c r="N279" s="448"/>
      <c r="O279" s="449"/>
      <c r="P279" s="449"/>
      <c r="Q279" s="450"/>
      <c r="R279" s="450"/>
      <c r="S279" s="451"/>
      <c r="T279" s="451"/>
      <c r="U279" s="452"/>
      <c r="V279" s="453"/>
      <c r="W279" s="447"/>
      <c r="X279" s="447"/>
      <c r="Y279" s="451"/>
      <c r="Z279" s="451"/>
      <c r="AA279" s="451"/>
      <c r="AB279" s="454"/>
      <c r="AC279" s="447"/>
      <c r="AD279" s="447"/>
      <c r="AE279" s="447"/>
      <c r="AF279" s="455"/>
      <c r="AG279" s="447"/>
      <c r="AH279" s="1062"/>
      <c r="AI279" s="1062"/>
      <c r="AJ279" s="1062"/>
      <c r="AK279" s="1063"/>
      <c r="AL279" s="1063"/>
      <c r="AM279" s="1063"/>
      <c r="AN279" s="1063"/>
      <c r="AO279" s="456"/>
      <c r="AP279" s="456"/>
      <c r="AQ279" s="456"/>
      <c r="AR279" s="456"/>
      <c r="AS279" s="456"/>
      <c r="AT279" s="456"/>
      <c r="AU279" s="456"/>
      <c r="AV279" s="456"/>
      <c r="AW279" s="456"/>
      <c r="AX279" s="456"/>
      <c r="AY279" s="456"/>
      <c r="AZ279" s="456"/>
      <c r="BA279" s="456"/>
      <c r="BB279" s="456"/>
      <c r="BC279" s="456"/>
      <c r="BD279" s="456"/>
      <c r="BE279" s="456"/>
      <c r="BF279" s="456"/>
      <c r="BG279" s="456"/>
      <c r="BH279" s="432"/>
      <c r="CF279" s="542"/>
      <c r="CG279" s="542"/>
      <c r="CH279" s="542"/>
      <c r="CI279" s="542"/>
      <c r="CJ279" s="542"/>
      <c r="CK279" s="542"/>
      <c r="CL279" s="542"/>
      <c r="CM279" s="542"/>
      <c r="CN279" s="542"/>
      <c r="CO279" s="542"/>
      <c r="CP279" s="542"/>
      <c r="CQ279" s="542"/>
      <c r="CR279" s="542"/>
      <c r="CS279" s="542"/>
      <c r="CT279" s="542"/>
      <c r="CU279" s="542"/>
      <c r="CV279" s="542"/>
      <c r="CW279" s="542"/>
      <c r="CX279" s="542"/>
      <c r="CY279" s="542"/>
      <c r="CZ279" s="542"/>
      <c r="DA279" s="542"/>
      <c r="DB279" s="542"/>
      <c r="DC279" s="542"/>
      <c r="DD279" s="542"/>
      <c r="DE279" s="542"/>
      <c r="DF279" s="542"/>
      <c r="DG279" s="542"/>
      <c r="DH279" s="542"/>
      <c r="DI279" s="543"/>
      <c r="DJ279" s="542"/>
      <c r="DK279" s="542"/>
      <c r="DL279" s="542"/>
      <c r="DM279" s="542"/>
      <c r="DN279" s="542"/>
      <c r="DO279" s="542"/>
      <c r="DP279" s="542"/>
      <c r="DQ279" s="542"/>
      <c r="DR279" s="542"/>
      <c r="DS279" s="542"/>
    </row>
    <row r="280" spans="1:123" s="844" customFormat="1" ht="28.8">
      <c r="A280" s="2336" t="s">
        <v>1247</v>
      </c>
      <c r="B280" s="984" t="s">
        <v>1208</v>
      </c>
      <c r="C280" s="832" t="s">
        <v>853</v>
      </c>
      <c r="D280" s="788" t="s">
        <v>1248</v>
      </c>
      <c r="E280" s="788">
        <v>23</v>
      </c>
      <c r="F280" s="795">
        <v>776.08699999999999</v>
      </c>
      <c r="G280" s="795">
        <v>384.90539999999999</v>
      </c>
      <c r="H280" s="789">
        <v>333054.34999999998</v>
      </c>
      <c r="I280" s="790">
        <v>176477.45</v>
      </c>
      <c r="J280" s="791" t="s">
        <v>855</v>
      </c>
      <c r="K280" s="792" t="s">
        <v>1231</v>
      </c>
      <c r="L280" s="1055" t="s">
        <v>35</v>
      </c>
      <c r="M280" s="1056" t="s">
        <v>35</v>
      </c>
      <c r="N280" s="794">
        <v>442.77940000000001</v>
      </c>
      <c r="O280" s="795">
        <v>27.36</v>
      </c>
      <c r="P280" s="1064">
        <v>16.186199999999999</v>
      </c>
      <c r="Q280" s="485" t="s">
        <v>35</v>
      </c>
      <c r="R280" s="744">
        <f>N280</f>
        <v>442.77940000000001</v>
      </c>
      <c r="S280" s="667" t="s">
        <v>841</v>
      </c>
      <c r="T280" s="637" t="s">
        <v>842</v>
      </c>
      <c r="U280" s="560"/>
      <c r="V280" s="2312" t="s">
        <v>843</v>
      </c>
      <c r="W280" s="177" t="s">
        <v>175</v>
      </c>
      <c r="X280" s="837" t="s">
        <v>1249</v>
      </c>
      <c r="Y280" s="698">
        <f>((500*R267)+(0.573*R268)+R269+T274)*(1+$T$276)</f>
        <v>187492.44161867999</v>
      </c>
      <c r="Z280" s="748" t="s">
        <v>918</v>
      </c>
      <c r="AA280" s="749" t="s">
        <v>918</v>
      </c>
      <c r="AB280" s="801"/>
      <c r="AC280" s="802"/>
      <c r="AD280" s="841"/>
      <c r="AE280" s="802"/>
      <c r="AF280" s="791" t="s">
        <v>175</v>
      </c>
      <c r="AG280" s="837" t="s">
        <v>1249</v>
      </c>
      <c r="AH280" s="695">
        <f>Y280</f>
        <v>187492.44161867999</v>
      </c>
      <c r="AI280" s="842">
        <f>290*500</f>
        <v>145000</v>
      </c>
      <c r="AJ280" s="842"/>
      <c r="AK280" s="783"/>
      <c r="AL280" s="783"/>
      <c r="AM280" s="783"/>
      <c r="AN280" s="783"/>
      <c r="AO280" s="783"/>
      <c r="AP280" s="783"/>
      <c r="AQ280" s="783"/>
      <c r="AR280" s="783"/>
      <c r="AS280" s="783"/>
      <c r="AT280" s="783"/>
      <c r="AU280" s="783"/>
      <c r="AV280" s="783"/>
      <c r="AW280" s="783"/>
      <c r="AX280" s="783"/>
      <c r="AY280" s="783"/>
      <c r="AZ280" s="783"/>
      <c r="BA280" s="783"/>
      <c r="BB280" s="783"/>
      <c r="BC280" s="783"/>
      <c r="BD280" s="783"/>
      <c r="BE280" s="783"/>
      <c r="BF280" s="783"/>
      <c r="BG280" s="783"/>
      <c r="BH280" s="843"/>
    </row>
    <row r="281" spans="1:123" s="331" customFormat="1">
      <c r="A281" s="2337"/>
      <c r="B281" s="566" t="s">
        <v>1212</v>
      </c>
      <c r="C281" s="567" t="s">
        <v>853</v>
      </c>
      <c r="D281" s="809" t="s">
        <v>1250</v>
      </c>
      <c r="E281" s="809">
        <v>23</v>
      </c>
      <c r="F281" s="598">
        <v>0.55434799999999995</v>
      </c>
      <c r="G281" s="598">
        <v>2.3199999999999998E-2</v>
      </c>
      <c r="H281" s="549">
        <v>333054.34999999998</v>
      </c>
      <c r="I281" s="550">
        <v>176477.45</v>
      </c>
      <c r="J281" s="810" t="s">
        <v>853</v>
      </c>
      <c r="K281" s="574" t="s">
        <v>1251</v>
      </c>
      <c r="L281" s="718" t="s">
        <v>35</v>
      </c>
      <c r="M281" s="719" t="s">
        <v>35</v>
      </c>
      <c r="N281" s="812">
        <v>-448127.41110000003</v>
      </c>
      <c r="O281" s="594">
        <v>-1.99</v>
      </c>
      <c r="P281" s="813">
        <v>224689.723</v>
      </c>
      <c r="Q281" s="577" t="s">
        <v>35</v>
      </c>
      <c r="R281" s="684">
        <f>N281</f>
        <v>-448127.41110000003</v>
      </c>
      <c r="S281" s="178" t="s">
        <v>1135</v>
      </c>
      <c r="T281" s="494" t="s">
        <v>1065</v>
      </c>
      <c r="U281" s="591"/>
      <c r="V281" s="2314"/>
      <c r="W281" s="92" t="s">
        <v>174</v>
      </c>
      <c r="X281" s="583" t="s">
        <v>1252</v>
      </c>
      <c r="Y281" s="683">
        <f>((500*R280)+(0.461*R281)+R282+T287)*(1+$T$289)</f>
        <v>302924.30180676002</v>
      </c>
      <c r="Z281" s="683">
        <f>Y281-Y280</f>
        <v>115431.86018808003</v>
      </c>
      <c r="AA281" s="888"/>
      <c r="AB281" s="454"/>
      <c r="AC281" s="525"/>
      <c r="AD281" s="524"/>
      <c r="AE281" s="525"/>
      <c r="AF281" s="573" t="s">
        <v>174</v>
      </c>
      <c r="AG281" s="583" t="s">
        <v>1252</v>
      </c>
      <c r="AH281" s="695">
        <f>Y281</f>
        <v>302924.30180676002</v>
      </c>
      <c r="AI281" s="681">
        <f>373*500</f>
        <v>186500</v>
      </c>
      <c r="AJ281" s="681">
        <f>475.46*500</f>
        <v>237730</v>
      </c>
      <c r="AK281" s="477"/>
      <c r="AL281" s="477"/>
      <c r="AM281" s="477"/>
      <c r="AN281" s="477"/>
      <c r="AO281" s="477"/>
      <c r="AP281" s="477"/>
      <c r="AQ281" s="477"/>
      <c r="AR281" s="477"/>
      <c r="AS281" s="477"/>
      <c r="AT281" s="477"/>
      <c r="AU281" s="477"/>
      <c r="AV281" s="477"/>
      <c r="AW281" s="477"/>
      <c r="AX281" s="477"/>
      <c r="AY281" s="477"/>
      <c r="AZ281" s="477"/>
      <c r="BA281" s="477"/>
      <c r="BB281" s="477"/>
      <c r="BC281" s="477"/>
      <c r="BD281" s="477"/>
      <c r="BE281" s="477"/>
      <c r="BF281" s="477"/>
      <c r="BG281" s="477"/>
      <c r="BH281" s="432"/>
    </row>
    <row r="282" spans="1:123" s="331" customFormat="1">
      <c r="A282" s="2337"/>
      <c r="B282" s="2273" t="s">
        <v>1041</v>
      </c>
      <c r="C282" s="2287" t="s">
        <v>862</v>
      </c>
      <c r="D282" s="809" t="s">
        <v>1066</v>
      </c>
      <c r="E282" s="809">
        <v>9</v>
      </c>
      <c r="F282" s="585" t="s">
        <v>35</v>
      </c>
      <c r="G282" s="585" t="s">
        <v>35</v>
      </c>
      <c r="H282" s="549">
        <v>302055.56</v>
      </c>
      <c r="I282" s="550">
        <v>149658.92000000001</v>
      </c>
      <c r="J282" s="718" t="s">
        <v>35</v>
      </c>
      <c r="K282" s="719" t="s">
        <v>35</v>
      </c>
      <c r="L282" s="718" t="s">
        <v>35</v>
      </c>
      <c r="M282" s="719" t="s">
        <v>35</v>
      </c>
      <c r="N282" s="812">
        <v>-3328.02</v>
      </c>
      <c r="O282" s="594">
        <v>-0.3</v>
      </c>
      <c r="P282" s="813">
        <v>11015.486699999999</v>
      </c>
      <c r="Q282" s="684">
        <v>0.254</v>
      </c>
      <c r="R282" s="2317">
        <f>SUMPRODUCT(Q282:Q284,N282:N284)</f>
        <v>-3218.0456106000001</v>
      </c>
      <c r="S282" s="667" t="s">
        <v>858</v>
      </c>
      <c r="T282" s="511" t="s">
        <v>859</v>
      </c>
      <c r="U282" s="470"/>
      <c r="V282" s="524"/>
      <c r="W282" s="525"/>
      <c r="X282" s="525"/>
      <c r="Y282" s="515"/>
      <c r="Z282" s="515"/>
      <c r="AA282" s="515"/>
      <c r="AB282" s="454"/>
      <c r="AC282" s="525"/>
      <c r="AD282" s="524"/>
      <c r="AE282" s="525"/>
      <c r="AF282" s="757"/>
      <c r="AG282" s="525"/>
      <c r="AH282" s="477"/>
      <c r="AI282" s="477"/>
      <c r="AJ282" s="477"/>
      <c r="AK282" s="477"/>
      <c r="AL282" s="477"/>
      <c r="AM282" s="477"/>
      <c r="AN282" s="477"/>
      <c r="AO282" s="477"/>
      <c r="AP282" s="477"/>
      <c r="AQ282" s="477"/>
      <c r="AR282" s="477"/>
      <c r="AS282" s="477"/>
      <c r="AT282" s="477"/>
      <c r="AU282" s="477"/>
      <c r="AV282" s="477"/>
      <c r="AW282" s="477"/>
      <c r="AX282" s="477"/>
      <c r="AY282" s="477"/>
      <c r="AZ282" s="477"/>
      <c r="BA282" s="477"/>
      <c r="BB282" s="477"/>
      <c r="BC282" s="477"/>
      <c r="BD282" s="477"/>
      <c r="BE282" s="477"/>
      <c r="BF282" s="477"/>
      <c r="BG282" s="477"/>
      <c r="BH282" s="432"/>
    </row>
    <row r="283" spans="1:123" s="331" customFormat="1">
      <c r="A283" s="2337"/>
      <c r="B283" s="2273"/>
      <c r="C283" s="2318"/>
      <c r="D283" s="809" t="s">
        <v>1158</v>
      </c>
      <c r="E283" s="809">
        <v>4</v>
      </c>
      <c r="F283" s="585" t="s">
        <v>35</v>
      </c>
      <c r="G283" s="585" t="s">
        <v>35</v>
      </c>
      <c r="H283" s="549">
        <v>141750</v>
      </c>
      <c r="I283" s="550">
        <v>17783.419999999998</v>
      </c>
      <c r="J283" s="718" t="s">
        <v>35</v>
      </c>
      <c r="K283" s="719" t="s">
        <v>35</v>
      </c>
      <c r="L283" s="718" t="s">
        <v>35</v>
      </c>
      <c r="M283" s="719" t="s">
        <v>35</v>
      </c>
      <c r="N283" s="812">
        <v>-9845.3466000000008</v>
      </c>
      <c r="O283" s="594">
        <v>-0.59</v>
      </c>
      <c r="P283" s="813">
        <v>16806.801100000001</v>
      </c>
      <c r="Q283" s="684">
        <v>0.24099999999999999</v>
      </c>
      <c r="R283" s="2317"/>
      <c r="S283" s="748" t="s">
        <v>1221</v>
      </c>
      <c r="T283" s="987" t="s">
        <v>1019</v>
      </c>
      <c r="U283" s="591"/>
      <c r="V283" s="524"/>
      <c r="W283" s="525"/>
      <c r="X283" s="525"/>
      <c r="Y283" s="515"/>
      <c r="Z283" s="515"/>
      <c r="AA283" s="515"/>
      <c r="AB283" s="454"/>
      <c r="AC283" s="525"/>
      <c r="AD283" s="524"/>
      <c r="AE283" s="525"/>
      <c r="AF283" s="757"/>
      <c r="AG283" s="525"/>
      <c r="AH283" s="477"/>
      <c r="AI283" s="477"/>
      <c r="AJ283" s="477"/>
      <c r="AK283" s="477"/>
      <c r="AL283" s="477"/>
      <c r="AM283" s="477"/>
      <c r="AN283" s="477"/>
      <c r="AO283" s="477"/>
      <c r="AP283" s="477"/>
      <c r="AQ283" s="477"/>
      <c r="AR283" s="477"/>
      <c r="AS283" s="477"/>
      <c r="AT283" s="477"/>
      <c r="AU283" s="477"/>
      <c r="AV283" s="477"/>
      <c r="AW283" s="477"/>
      <c r="AX283" s="477"/>
      <c r="AY283" s="477"/>
      <c r="AZ283" s="477"/>
      <c r="BA283" s="477"/>
      <c r="BB283" s="477"/>
      <c r="BC283" s="477"/>
      <c r="BD283" s="477"/>
      <c r="BE283" s="477"/>
      <c r="BF283" s="477"/>
      <c r="BG283" s="477"/>
      <c r="BH283" s="432"/>
    </row>
    <row r="284" spans="1:123" s="331" customFormat="1">
      <c r="A284" s="2337"/>
      <c r="B284" s="2273"/>
      <c r="C284" s="2299"/>
      <c r="D284" s="809" t="s">
        <v>1227</v>
      </c>
      <c r="E284" s="809">
        <v>10</v>
      </c>
      <c r="F284" s="585" t="s">
        <v>35</v>
      </c>
      <c r="G284" s="585" t="s">
        <v>35</v>
      </c>
      <c r="H284" s="549">
        <v>437475</v>
      </c>
      <c r="I284" s="550">
        <v>163628.57999999999</v>
      </c>
      <c r="J284" s="718" t="s">
        <v>35</v>
      </c>
      <c r="K284" s="719" t="s">
        <v>35</v>
      </c>
      <c r="L284" s="718" t="s">
        <v>35</v>
      </c>
      <c r="M284" s="719" t="s">
        <v>35</v>
      </c>
      <c r="N284" s="812">
        <v>0</v>
      </c>
      <c r="O284" s="594" t="s">
        <v>926</v>
      </c>
      <c r="P284" s="813" t="s">
        <v>926</v>
      </c>
      <c r="Q284" s="684">
        <v>0.13900000000000001</v>
      </c>
      <c r="R284" s="2317"/>
      <c r="S284" s="667" t="s">
        <v>868</v>
      </c>
      <c r="T284" s="592" t="s">
        <v>869</v>
      </c>
      <c r="U284" s="560"/>
      <c r="V284" s="524"/>
      <c r="W284" s="525"/>
      <c r="X284" s="525"/>
      <c r="Y284" s="515"/>
      <c r="Z284" s="515"/>
      <c r="AA284" s="515"/>
      <c r="AB284" s="454"/>
      <c r="AC284" s="525"/>
      <c r="AD284" s="524"/>
      <c r="AE284" s="525"/>
      <c r="AF284" s="757"/>
      <c r="AG284" s="525"/>
      <c r="AH284" s="477"/>
      <c r="AI284" s="477"/>
      <c r="AJ284" s="477"/>
      <c r="AK284" s="477"/>
      <c r="AL284" s="477"/>
      <c r="AM284" s="477"/>
      <c r="AN284" s="477"/>
      <c r="AO284" s="477"/>
      <c r="AP284" s="477"/>
      <c r="AQ284" s="477"/>
      <c r="AR284" s="477"/>
      <c r="AS284" s="477"/>
      <c r="AT284" s="477"/>
      <c r="AU284" s="477"/>
      <c r="AV284" s="477"/>
      <c r="AW284" s="477"/>
      <c r="AX284" s="477"/>
      <c r="AY284" s="477"/>
      <c r="AZ284" s="477"/>
      <c r="BA284" s="477"/>
      <c r="BB284" s="477"/>
      <c r="BC284" s="477"/>
      <c r="BD284" s="477"/>
      <c r="BE284" s="477"/>
      <c r="BF284" s="477"/>
      <c r="BG284" s="477"/>
      <c r="BH284" s="432"/>
    </row>
    <row r="285" spans="1:123" s="331" customFormat="1" ht="15" customHeight="1">
      <c r="A285" s="2337"/>
      <c r="B285" s="2340" t="s">
        <v>1021</v>
      </c>
      <c r="C285" s="921"/>
      <c r="D285" s="802"/>
      <c r="E285" s="802"/>
      <c r="F285" s="802"/>
      <c r="G285" s="802"/>
      <c r="H285" s="802"/>
      <c r="I285" s="802"/>
      <c r="J285" s="860"/>
      <c r="K285" s="802"/>
      <c r="L285" s="757"/>
      <c r="M285" s="525"/>
      <c r="N285" s="758"/>
      <c r="O285" s="759"/>
      <c r="P285" s="759"/>
      <c r="Q285" s="605"/>
      <c r="R285" s="605"/>
      <c r="S285" s="564">
        <f>E280</f>
        <v>23</v>
      </c>
      <c r="T285" s="811" t="s">
        <v>35</v>
      </c>
      <c r="U285" s="452"/>
      <c r="V285" s="524"/>
      <c r="W285" s="525"/>
      <c r="X285" s="525"/>
      <c r="Y285" s="515"/>
      <c r="Z285" s="515"/>
      <c r="AA285" s="515"/>
      <c r="AB285" s="454"/>
      <c r="AC285" s="525"/>
      <c r="AD285" s="524"/>
      <c r="AE285" s="525"/>
      <c r="AF285" s="757"/>
      <c r="AG285" s="525"/>
      <c r="AH285" s="477"/>
      <c r="AI285" s="477"/>
      <c r="AJ285" s="477"/>
      <c r="AK285" s="477"/>
      <c r="AL285" s="477"/>
      <c r="AM285" s="477"/>
      <c r="AN285" s="477"/>
      <c r="AO285" s="477"/>
      <c r="AP285" s="477"/>
      <c r="AQ285" s="477"/>
      <c r="AR285" s="477"/>
      <c r="AS285" s="477"/>
      <c r="AT285" s="477"/>
      <c r="AU285" s="477"/>
      <c r="AV285" s="477"/>
      <c r="AW285" s="477"/>
      <c r="AX285" s="477"/>
      <c r="AY285" s="477"/>
      <c r="AZ285" s="477"/>
      <c r="BA285" s="477"/>
      <c r="BB285" s="477"/>
      <c r="BC285" s="477"/>
      <c r="BD285" s="477"/>
      <c r="BE285" s="477"/>
      <c r="BF285" s="477"/>
      <c r="BG285" s="477"/>
      <c r="BH285" s="432"/>
    </row>
    <row r="286" spans="1:123" s="331" customFormat="1">
      <c r="A286" s="2337"/>
      <c r="B286" s="2280"/>
      <c r="C286" s="858"/>
      <c r="D286" s="802"/>
      <c r="E286" s="802"/>
      <c r="F286" s="802"/>
      <c r="G286" s="802"/>
      <c r="H286" s="802"/>
      <c r="I286" s="802"/>
      <c r="J286" s="860"/>
      <c r="K286" s="802"/>
      <c r="L286" s="860"/>
      <c r="M286" s="525"/>
      <c r="N286" s="758"/>
      <c r="O286" s="759"/>
      <c r="P286" s="759"/>
      <c r="Q286" s="605"/>
      <c r="R286" s="605"/>
      <c r="S286" s="667" t="s">
        <v>876</v>
      </c>
      <c r="T286" s="592" t="s">
        <v>877</v>
      </c>
      <c r="U286" s="560"/>
      <c r="V286" s="524"/>
      <c r="W286" s="525"/>
      <c r="X286" s="525"/>
      <c r="Y286" s="515"/>
      <c r="Z286" s="515"/>
      <c r="AA286" s="515"/>
      <c r="AB286" s="454"/>
      <c r="AC286" s="525"/>
      <c r="AD286" s="524"/>
      <c r="AE286" s="525"/>
      <c r="AF286" s="757"/>
      <c r="AG286" s="525"/>
      <c r="AH286" s="477"/>
      <c r="AI286" s="477"/>
      <c r="AJ286" s="477"/>
      <c r="AK286" s="477"/>
      <c r="AL286" s="477"/>
      <c r="AM286" s="477"/>
      <c r="AN286" s="477"/>
      <c r="AO286" s="477"/>
      <c r="AP286" s="477"/>
      <c r="AQ286" s="477"/>
      <c r="AR286" s="477"/>
      <c r="AS286" s="477"/>
      <c r="AT286" s="477"/>
      <c r="AU286" s="477"/>
      <c r="AV286" s="477"/>
      <c r="AW286" s="477"/>
      <c r="AX286" s="477"/>
      <c r="AY286" s="477"/>
      <c r="AZ286" s="477"/>
      <c r="BA286" s="477"/>
      <c r="BB286" s="477"/>
      <c r="BC286" s="477"/>
      <c r="BD286" s="477"/>
      <c r="BE286" s="477"/>
      <c r="BF286" s="477"/>
      <c r="BG286" s="477"/>
      <c r="BH286" s="432"/>
    </row>
    <row r="287" spans="1:123" s="331" customFormat="1">
      <c r="A287" s="2337"/>
      <c r="B287" s="2280"/>
      <c r="C287" s="858"/>
      <c r="D287" s="802"/>
      <c r="E287" s="802"/>
      <c r="F287" s="802"/>
      <c r="G287" s="802"/>
      <c r="H287" s="802"/>
      <c r="I287" s="802"/>
      <c r="J287" s="860"/>
      <c r="K287" s="802"/>
      <c r="L287" s="860"/>
      <c r="M287" s="525"/>
      <c r="N287" s="758"/>
      <c r="O287" s="759"/>
      <c r="P287" s="759"/>
      <c r="Q287" s="605"/>
      <c r="R287" s="605"/>
      <c r="S287" s="669">
        <v>0.98766900000000002</v>
      </c>
      <c r="T287" s="1065">
        <v>240852.00030000001</v>
      </c>
      <c r="U287" s="597"/>
      <c r="V287" s="524"/>
      <c r="W287" s="525"/>
      <c r="X287" s="525"/>
      <c r="Y287" s="515"/>
      <c r="Z287" s="515"/>
      <c r="AA287" s="515"/>
      <c r="AB287" s="454"/>
      <c r="AC287" s="525"/>
      <c r="AD287" s="524"/>
      <c r="AE287" s="525"/>
      <c r="AF287" s="757"/>
      <c r="AG287" s="525"/>
      <c r="AH287" s="477"/>
      <c r="AI287" s="477"/>
      <c r="AJ287" s="477"/>
      <c r="AK287" s="477"/>
      <c r="AL287" s="477"/>
      <c r="AM287" s="477"/>
      <c r="AN287" s="477"/>
      <c r="AO287" s="477"/>
      <c r="AP287" s="477"/>
      <c r="AQ287" s="477"/>
      <c r="AR287" s="477"/>
      <c r="AS287" s="477"/>
      <c r="AT287" s="477"/>
      <c r="AU287" s="477"/>
      <c r="AV287" s="477"/>
      <c r="AW287" s="477"/>
      <c r="AX287" s="477"/>
      <c r="AY287" s="477"/>
      <c r="AZ287" s="477"/>
      <c r="BA287" s="477"/>
      <c r="BB287" s="477"/>
      <c r="BC287" s="477"/>
      <c r="BD287" s="477"/>
      <c r="BE287" s="477"/>
      <c r="BF287" s="477"/>
      <c r="BG287" s="477"/>
      <c r="BH287" s="432"/>
    </row>
    <row r="288" spans="1:123" s="331" customFormat="1">
      <c r="A288" s="2337"/>
      <c r="B288" s="2280"/>
      <c r="C288" s="858"/>
      <c r="D288" s="802"/>
      <c r="E288" s="802"/>
      <c r="F288" s="802"/>
      <c r="G288" s="802"/>
      <c r="H288" s="802"/>
      <c r="I288" s="802"/>
      <c r="J288" s="860"/>
      <c r="K288" s="802"/>
      <c r="L288" s="860"/>
      <c r="M288" s="525"/>
      <c r="N288" s="758"/>
      <c r="O288" s="759"/>
      <c r="P288" s="759"/>
      <c r="Q288" s="605"/>
      <c r="R288" s="605"/>
      <c r="S288" s="498" t="s">
        <v>883</v>
      </c>
      <c r="T288" s="511" t="s">
        <v>884</v>
      </c>
      <c r="U288" s="470"/>
      <c r="V288" s="524"/>
      <c r="W288" s="525"/>
      <c r="X288" s="525"/>
      <c r="Y288" s="515"/>
      <c r="Z288" s="515"/>
      <c r="AA288" s="515"/>
      <c r="AB288" s="454"/>
      <c r="AC288" s="525"/>
      <c r="AD288" s="524"/>
      <c r="AE288" s="525"/>
      <c r="AF288" s="757"/>
      <c r="AG288" s="525"/>
      <c r="AH288" s="477"/>
      <c r="AI288" s="477"/>
      <c r="AJ288" s="477"/>
      <c r="AK288" s="477"/>
      <c r="AL288" s="477"/>
      <c r="AM288" s="477"/>
      <c r="AN288" s="477"/>
      <c r="AO288" s="477"/>
      <c r="AP288" s="477"/>
      <c r="AQ288" s="477"/>
      <c r="AR288" s="477"/>
      <c r="AS288" s="477"/>
      <c r="AT288" s="477"/>
      <c r="AU288" s="477"/>
      <c r="AV288" s="477"/>
      <c r="AW288" s="477"/>
      <c r="AX288" s="477"/>
      <c r="AY288" s="477"/>
      <c r="AZ288" s="477"/>
      <c r="BA288" s="477"/>
      <c r="BB288" s="477"/>
      <c r="BC288" s="477"/>
      <c r="BD288" s="477"/>
      <c r="BE288" s="477"/>
      <c r="BF288" s="477"/>
      <c r="BG288" s="477"/>
      <c r="BH288" s="432"/>
    </row>
    <row r="289" spans="1:123" s="331" customFormat="1" ht="15" thickBot="1">
      <c r="A289" s="2337"/>
      <c r="B289" s="2281"/>
      <c r="C289" s="858"/>
      <c r="D289" s="802"/>
      <c r="E289" s="802"/>
      <c r="F289" s="802"/>
      <c r="G289" s="802"/>
      <c r="H289" s="802"/>
      <c r="I289" s="802"/>
      <c r="J289" s="860"/>
      <c r="K289" s="802"/>
      <c r="L289" s="860"/>
      <c r="M289" s="525"/>
      <c r="N289" s="758"/>
      <c r="O289" s="759"/>
      <c r="P289" s="759"/>
      <c r="Q289" s="605"/>
      <c r="R289" s="605"/>
      <c r="S289" s="568">
        <v>15465.169</v>
      </c>
      <c r="T289" s="513">
        <v>0.2</v>
      </c>
      <c r="U289" s="603"/>
      <c r="V289" s="524"/>
      <c r="W289" s="525"/>
      <c r="X289" s="525"/>
      <c r="Y289" s="515"/>
      <c r="Z289" s="515"/>
      <c r="AA289" s="515"/>
      <c r="AB289" s="454"/>
      <c r="AC289" s="525"/>
      <c r="AD289" s="675"/>
      <c r="AE289" s="525"/>
      <c r="AF289" s="757"/>
      <c r="AG289" s="525"/>
      <c r="AH289" s="477"/>
      <c r="AI289" s="477"/>
      <c r="AJ289" s="477"/>
      <c r="AK289" s="477"/>
      <c r="AL289" s="477"/>
      <c r="AM289" s="477"/>
      <c r="AN289" s="477"/>
      <c r="AO289" s="477"/>
      <c r="AP289" s="477"/>
      <c r="AQ289" s="477"/>
      <c r="AR289" s="477"/>
      <c r="AS289" s="477"/>
      <c r="AT289" s="477"/>
      <c r="AU289" s="477"/>
      <c r="AV289" s="477"/>
      <c r="AW289" s="477"/>
      <c r="AX289" s="477"/>
      <c r="AY289" s="477"/>
      <c r="AZ289" s="477"/>
      <c r="BA289" s="477"/>
      <c r="BB289" s="477"/>
      <c r="BC289" s="477"/>
      <c r="BD289" s="477"/>
      <c r="BE289" s="477"/>
      <c r="BF289" s="477"/>
      <c r="BG289" s="477"/>
      <c r="BH289" s="432"/>
    </row>
    <row r="290" spans="1:123" s="626" customFormat="1" ht="9" customHeight="1" thickBot="1">
      <c r="A290" s="540"/>
      <c r="B290" s="541"/>
      <c r="C290" s="444"/>
      <c r="D290" s="445"/>
      <c r="E290" s="445"/>
      <c r="F290" s="445"/>
      <c r="G290" s="445"/>
      <c r="H290" s="445"/>
      <c r="I290" s="445"/>
      <c r="J290" s="446"/>
      <c r="K290" s="445"/>
      <c r="L290" s="446"/>
      <c r="M290" s="447"/>
      <c r="N290" s="448"/>
      <c r="O290" s="449"/>
      <c r="P290" s="449"/>
      <c r="Q290" s="450"/>
      <c r="R290" s="450"/>
      <c r="S290" s="451"/>
      <c r="T290" s="451"/>
      <c r="U290" s="452"/>
      <c r="V290" s="453"/>
      <c r="W290" s="447"/>
      <c r="X290" s="447"/>
      <c r="Y290" s="451"/>
      <c r="Z290" s="451"/>
      <c r="AA290" s="451"/>
      <c r="AB290" s="454"/>
      <c r="AC290" s="447"/>
      <c r="AD290" s="447"/>
      <c r="AE290" s="447"/>
      <c r="AF290" s="455"/>
      <c r="AG290" s="447"/>
      <c r="AH290" s="456"/>
      <c r="AI290" s="456"/>
      <c r="AJ290" s="456"/>
      <c r="AK290" s="456"/>
      <c r="AL290" s="456"/>
      <c r="AM290" s="456"/>
      <c r="AN290" s="653"/>
      <c r="AO290" s="653"/>
      <c r="AP290" s="653"/>
      <c r="AQ290" s="653"/>
      <c r="AR290" s="653"/>
      <c r="AS290" s="653"/>
      <c r="AT290" s="653"/>
      <c r="AU290" s="653"/>
      <c r="AV290" s="653"/>
      <c r="AW290" s="653"/>
      <c r="AX290" s="653"/>
      <c r="AY290" s="653"/>
      <c r="AZ290" s="653"/>
      <c r="BA290" s="653"/>
      <c r="BB290" s="653"/>
      <c r="BC290" s="653"/>
      <c r="BD290" s="653"/>
      <c r="BE290" s="653"/>
      <c r="BF290" s="653"/>
      <c r="BG290" s="653"/>
      <c r="BH290" s="432"/>
      <c r="CF290" s="542"/>
      <c r="CG290" s="542"/>
      <c r="CH290" s="542"/>
      <c r="CI290" s="542"/>
      <c r="CJ290" s="542"/>
      <c r="CK290" s="542"/>
      <c r="CL290" s="542"/>
      <c r="CM290" s="542"/>
      <c r="CN290" s="542"/>
      <c r="CO290" s="542"/>
      <c r="CP290" s="542"/>
      <c r="CQ290" s="542"/>
      <c r="CR290" s="542"/>
      <c r="CS290" s="542"/>
      <c r="CT290" s="542"/>
      <c r="CU290" s="542"/>
      <c r="CV290" s="542"/>
      <c r="CW290" s="542"/>
      <c r="CX290" s="542"/>
      <c r="CY290" s="542"/>
      <c r="CZ290" s="542"/>
      <c r="DA290" s="542"/>
      <c r="DB290" s="542"/>
      <c r="DC290" s="542"/>
      <c r="DD290" s="542"/>
      <c r="DE290" s="542"/>
      <c r="DF290" s="542"/>
      <c r="DG290" s="542"/>
      <c r="DH290" s="542"/>
      <c r="DI290" s="543"/>
      <c r="DJ290" s="542"/>
      <c r="DK290" s="542"/>
      <c r="DL290" s="542"/>
      <c r="DM290" s="542"/>
      <c r="DN290" s="542"/>
      <c r="DO290" s="542"/>
      <c r="DP290" s="542"/>
      <c r="DQ290" s="542"/>
      <c r="DR290" s="542"/>
      <c r="DS290" s="542"/>
    </row>
    <row r="291" spans="1:123" ht="15" customHeight="1">
      <c r="A291" s="2336" t="s">
        <v>548</v>
      </c>
      <c r="B291" s="627" t="s">
        <v>546</v>
      </c>
      <c r="C291" s="832" t="s">
        <v>853</v>
      </c>
      <c r="D291" s="1066" t="s">
        <v>1253</v>
      </c>
      <c r="E291" s="1066">
        <v>34</v>
      </c>
      <c r="F291" s="1067">
        <v>47470.59</v>
      </c>
      <c r="G291" s="1067">
        <v>11089.81</v>
      </c>
      <c r="H291" s="1068">
        <v>2870.69</v>
      </c>
      <c r="I291" s="1069">
        <v>1004.92</v>
      </c>
      <c r="J291" s="791" t="s">
        <v>855</v>
      </c>
      <c r="K291" s="632" t="s">
        <v>1254</v>
      </c>
      <c r="L291" s="629" t="s">
        <v>35</v>
      </c>
      <c r="M291" s="630" t="s">
        <v>35</v>
      </c>
      <c r="N291" s="575">
        <v>2.4892999999999998E-2</v>
      </c>
      <c r="O291" s="576">
        <v>5.69</v>
      </c>
      <c r="P291" s="576">
        <v>4.3740000000000003E-3</v>
      </c>
      <c r="Q291" s="577" t="s">
        <v>35</v>
      </c>
      <c r="R291" s="486">
        <f>N291</f>
        <v>2.4892999999999998E-2</v>
      </c>
      <c r="S291" s="587" t="s">
        <v>841</v>
      </c>
      <c r="T291" s="659" t="s">
        <v>842</v>
      </c>
      <c r="U291" s="560"/>
      <c r="V291" s="2293" t="s">
        <v>843</v>
      </c>
      <c r="W291" s="177" t="s">
        <v>175</v>
      </c>
      <c r="X291" s="92" t="s">
        <v>1255</v>
      </c>
      <c r="Y291" s="563">
        <f>((40000*$R$291)+($R$292*13)+$R$293+$T$298)*(1+$T$300)</f>
        <v>3446.5689559367997</v>
      </c>
      <c r="Z291" s="487" t="s">
        <v>918</v>
      </c>
      <c r="AA291" s="977" t="s">
        <v>918</v>
      </c>
      <c r="AB291" s="978"/>
      <c r="AC291" s="525"/>
      <c r="AD291" s="524"/>
      <c r="AE291" s="525"/>
      <c r="AF291" s="791" t="s">
        <v>175</v>
      </c>
      <c r="AG291" s="92" t="s">
        <v>1256</v>
      </c>
      <c r="AH291" s="660">
        <f>((60000*$R$291)+($R$292*13)+$R$293+$T$298)*1.2</f>
        <v>4044.0009559367995</v>
      </c>
      <c r="AI291" s="660">
        <v>3168</v>
      </c>
      <c r="AJ291" s="660">
        <f>959*5</f>
        <v>4795</v>
      </c>
      <c r="AK291" s="477"/>
      <c r="AL291" s="477"/>
      <c r="AM291" s="477"/>
      <c r="AN291" s="477"/>
      <c r="AO291" s="477"/>
      <c r="AP291" s="477"/>
      <c r="AQ291" s="477"/>
      <c r="AR291" s="477"/>
      <c r="AS291" s="477"/>
      <c r="AT291" s="477"/>
      <c r="AU291" s="477"/>
      <c r="AV291" s="477"/>
      <c r="AW291" s="477"/>
      <c r="AX291" s="477"/>
      <c r="AY291" s="477"/>
      <c r="AZ291" s="477"/>
      <c r="BA291" s="477"/>
      <c r="BB291" s="477"/>
      <c r="BC291" s="477"/>
      <c r="BD291" s="477"/>
      <c r="BE291" s="477"/>
      <c r="BF291" s="477"/>
      <c r="BG291" s="477"/>
    </row>
    <row r="292" spans="1:123">
      <c r="A292" s="2337"/>
      <c r="B292" s="566" t="s">
        <v>204</v>
      </c>
      <c r="C292" s="493" t="s">
        <v>853</v>
      </c>
      <c r="D292" s="568" t="s">
        <v>1257</v>
      </c>
      <c r="E292" s="568">
        <v>34</v>
      </c>
      <c r="F292" s="598">
        <v>13.17647</v>
      </c>
      <c r="G292" s="598">
        <v>0.57580399999999998</v>
      </c>
      <c r="H292" s="549">
        <v>2870.69</v>
      </c>
      <c r="I292" s="550">
        <v>1004.92</v>
      </c>
      <c r="J292" s="573" t="s">
        <v>853</v>
      </c>
      <c r="K292" s="574" t="s">
        <v>1258</v>
      </c>
      <c r="L292" s="571" t="s">
        <v>35</v>
      </c>
      <c r="M292" s="572" t="s">
        <v>35</v>
      </c>
      <c r="N292" s="575">
        <v>354.90783599999997</v>
      </c>
      <c r="O292" s="576">
        <v>3.64</v>
      </c>
      <c r="P292" s="576">
        <v>97.413668999999999</v>
      </c>
      <c r="Q292" s="577" t="s">
        <v>35</v>
      </c>
      <c r="R292" s="486">
        <f>N292</f>
        <v>354.90783599999997</v>
      </c>
      <c r="S292" s="578" t="s">
        <v>1160</v>
      </c>
      <c r="T292" s="500" t="s">
        <v>1065</v>
      </c>
      <c r="U292" s="591"/>
      <c r="V292" s="2294"/>
      <c r="W292" s="177" t="s">
        <v>174</v>
      </c>
      <c r="X292" s="92" t="s">
        <v>1259</v>
      </c>
      <c r="Y292" s="563">
        <f>((40000*$R$291)+($R$292*14)+$R$293+$T$298)*(1+$T$300)</f>
        <v>3872.4583591368</v>
      </c>
      <c r="Z292" s="563">
        <f>Y292-$Y$291</f>
        <v>425.88940320000029</v>
      </c>
      <c r="AA292" s="581">
        <f>(14-13)*$P$292</f>
        <v>97.413668999999999</v>
      </c>
      <c r="AB292" s="582"/>
      <c r="AC292" s="525"/>
      <c r="AD292" s="524"/>
      <c r="AE292" s="525"/>
      <c r="AF292" s="495" t="s">
        <v>174</v>
      </c>
      <c r="AG292" s="92" t="s">
        <v>1260</v>
      </c>
      <c r="AH292" s="660">
        <f>((60000*$R$291)+($R$292*14)+$R$293+$T$298)*1.2</f>
        <v>4469.8903591367998</v>
      </c>
      <c r="AI292" s="660"/>
      <c r="AJ292" s="660">
        <f>995*5</f>
        <v>4975</v>
      </c>
      <c r="AK292" s="477"/>
      <c r="AL292" s="477"/>
      <c r="AM292" s="477"/>
      <c r="AN292" s="477"/>
      <c r="AO292" s="477"/>
      <c r="AP292" s="477"/>
      <c r="AQ292" s="477"/>
      <c r="AR292" s="477"/>
      <c r="AS292" s="477"/>
      <c r="AT292" s="477"/>
      <c r="AU292" s="477"/>
      <c r="AV292" s="477"/>
      <c r="AW292" s="477"/>
      <c r="AX292" s="477"/>
      <c r="AY292" s="477"/>
      <c r="AZ292" s="477"/>
      <c r="BA292" s="477"/>
      <c r="BB292" s="477"/>
      <c r="BC292" s="477"/>
      <c r="BD292" s="477"/>
      <c r="BE292" s="477"/>
      <c r="BF292" s="477"/>
      <c r="BG292" s="477"/>
    </row>
    <row r="293" spans="1:123">
      <c r="A293" s="2337"/>
      <c r="B293" s="2273" t="s">
        <v>547</v>
      </c>
      <c r="C293" s="2345" t="s">
        <v>862</v>
      </c>
      <c r="D293" s="92" t="s">
        <v>1261</v>
      </c>
      <c r="E293" s="568">
        <v>1</v>
      </c>
      <c r="F293" s="817" t="s">
        <v>35</v>
      </c>
      <c r="G293" s="585" t="s">
        <v>35</v>
      </c>
      <c r="H293" s="549">
        <v>6256</v>
      </c>
      <c r="I293" s="572" t="s">
        <v>35</v>
      </c>
      <c r="J293" s="571" t="s">
        <v>35</v>
      </c>
      <c r="K293" s="572" t="s">
        <v>35</v>
      </c>
      <c r="L293" s="571" t="s">
        <v>35</v>
      </c>
      <c r="M293" s="572" t="s">
        <v>35</v>
      </c>
      <c r="N293" s="575">
        <v>3061.6191520000002</v>
      </c>
      <c r="O293" s="576">
        <v>9.85</v>
      </c>
      <c r="P293" s="576">
        <v>310.72088500000001</v>
      </c>
      <c r="Q293" s="486">
        <v>0</v>
      </c>
      <c r="R293" s="2285">
        <f>SUMPRODUCT(Q293:Q296,N293:N296)</f>
        <v>175.61085961399999</v>
      </c>
      <c r="S293" s="587" t="s">
        <v>858</v>
      </c>
      <c r="T293" s="499" t="s">
        <v>859</v>
      </c>
      <c r="U293" s="470"/>
      <c r="V293" s="2294"/>
      <c r="W293" s="177" t="s">
        <v>174</v>
      </c>
      <c r="X293" s="92" t="s">
        <v>1262</v>
      </c>
      <c r="Y293" s="563">
        <f>((40000*$R$291)+($R$292*15)+$R$293+$T$298)*(1+$T$300)</f>
        <v>4298.3477623367999</v>
      </c>
      <c r="Z293" s="563">
        <f>Y293-$Y$291</f>
        <v>851.77880640000012</v>
      </c>
      <c r="AA293" s="581">
        <f>(15-13)*$P$292</f>
        <v>194.827338</v>
      </c>
      <c r="AB293" s="582"/>
      <c r="AC293" s="525"/>
      <c r="AD293" s="524"/>
      <c r="AE293" s="525"/>
      <c r="AF293" s="495" t="s">
        <v>174</v>
      </c>
      <c r="AG293" s="92" t="s">
        <v>1263</v>
      </c>
      <c r="AH293" s="660">
        <f>((60000*$R$291)+($R$292*15)+$R$293+$T$298)*1.2</f>
        <v>4895.7797623367987</v>
      </c>
      <c r="AI293" s="660"/>
      <c r="AJ293" s="660"/>
      <c r="AK293" s="477"/>
      <c r="AL293" s="477"/>
      <c r="AM293" s="477"/>
      <c r="AN293" s="477"/>
      <c r="AO293" s="477"/>
      <c r="AP293" s="477"/>
      <c r="AQ293" s="477"/>
      <c r="AR293" s="477"/>
      <c r="AS293" s="477"/>
      <c r="AT293" s="477"/>
      <c r="AU293" s="477"/>
      <c r="AV293" s="477"/>
      <c r="AW293" s="477"/>
      <c r="AX293" s="477"/>
      <c r="AY293" s="477"/>
      <c r="AZ293" s="477"/>
      <c r="BA293" s="477"/>
      <c r="BB293" s="477"/>
      <c r="BC293" s="477"/>
      <c r="BD293" s="477"/>
      <c r="BE293" s="477"/>
      <c r="BF293" s="477"/>
      <c r="BG293" s="477"/>
    </row>
    <row r="294" spans="1:123">
      <c r="A294" s="2337"/>
      <c r="B294" s="2273"/>
      <c r="C294" s="2345"/>
      <c r="D294" s="92" t="s">
        <v>1171</v>
      </c>
      <c r="E294" s="568">
        <v>22</v>
      </c>
      <c r="F294" s="817" t="s">
        <v>35</v>
      </c>
      <c r="G294" s="585" t="s">
        <v>35</v>
      </c>
      <c r="H294" s="549">
        <v>2307.27</v>
      </c>
      <c r="I294" s="550">
        <v>301.77</v>
      </c>
      <c r="J294" s="571" t="s">
        <v>35</v>
      </c>
      <c r="K294" s="572" t="s">
        <v>35</v>
      </c>
      <c r="L294" s="571" t="s">
        <v>35</v>
      </c>
      <c r="M294" s="572" t="s">
        <v>35</v>
      </c>
      <c r="N294" s="575">
        <v>-527.29331100000002</v>
      </c>
      <c r="O294" s="576">
        <v>-3.22</v>
      </c>
      <c r="P294" s="576">
        <v>163.587155</v>
      </c>
      <c r="Q294" s="486">
        <v>3.3000000000000002E-2</v>
      </c>
      <c r="R294" s="2285"/>
      <c r="S294" s="981" t="s">
        <v>1069</v>
      </c>
      <c r="T294" s="749" t="s">
        <v>1019</v>
      </c>
      <c r="U294" s="591"/>
      <c r="V294" s="2295"/>
      <c r="W294" s="177" t="s">
        <v>174</v>
      </c>
      <c r="X294" s="92" t="s">
        <v>1264</v>
      </c>
      <c r="Y294" s="563">
        <f>((40000*$R$291)+($R$292*14.5)+$R$293+$T$298)*(1+$T$300)</f>
        <v>4085.4030607368004</v>
      </c>
      <c r="Z294" s="563">
        <f>Y294-$Y$291</f>
        <v>638.83410480000066</v>
      </c>
      <c r="AA294" s="581">
        <f>(14.5-13)*$P$292</f>
        <v>146.12050349999998</v>
      </c>
      <c r="AB294" s="582"/>
      <c r="AC294" s="525"/>
      <c r="AD294" s="524"/>
      <c r="AE294" s="525"/>
      <c r="AF294" s="495" t="s">
        <v>174</v>
      </c>
      <c r="AG294" s="92" t="s">
        <v>1265</v>
      </c>
      <c r="AH294" s="660">
        <f>((60000*$R$291)+($R$292*14.5)+$R$293+$T$298)*1.2</f>
        <v>4682.8350607368002</v>
      </c>
      <c r="AI294" s="660"/>
      <c r="AJ294" s="660"/>
      <c r="AK294" s="477"/>
      <c r="AL294" s="477"/>
      <c r="AM294" s="477"/>
      <c r="AN294" s="477"/>
      <c r="AO294" s="477"/>
      <c r="AP294" s="477"/>
      <c r="AQ294" s="477"/>
      <c r="AR294" s="477"/>
      <c r="AS294" s="477"/>
      <c r="AT294" s="477"/>
      <c r="AU294" s="477"/>
      <c r="AV294" s="477"/>
      <c r="AW294" s="477"/>
      <c r="AX294" s="477"/>
      <c r="AY294" s="477"/>
      <c r="AZ294" s="477"/>
      <c r="BA294" s="477"/>
      <c r="BB294" s="477"/>
      <c r="BC294" s="477"/>
      <c r="BD294" s="477"/>
      <c r="BE294" s="477"/>
      <c r="BF294" s="477"/>
      <c r="BG294" s="477"/>
    </row>
    <row r="295" spans="1:123">
      <c r="A295" s="2337"/>
      <c r="B295" s="2273"/>
      <c r="C295" s="2345"/>
      <c r="D295" s="92" t="s">
        <v>1066</v>
      </c>
      <c r="E295" s="568">
        <v>8</v>
      </c>
      <c r="F295" s="817" t="s">
        <v>35</v>
      </c>
      <c r="G295" s="585" t="s">
        <v>35</v>
      </c>
      <c r="H295" s="549">
        <v>3987.54</v>
      </c>
      <c r="I295" s="550">
        <v>630.62</v>
      </c>
      <c r="J295" s="571" t="s">
        <v>35</v>
      </c>
      <c r="K295" s="572" t="s">
        <v>35</v>
      </c>
      <c r="L295" s="571" t="s">
        <v>35</v>
      </c>
      <c r="M295" s="572" t="s">
        <v>35</v>
      </c>
      <c r="N295" s="575">
        <v>751.01766099999998</v>
      </c>
      <c r="O295" s="576">
        <v>3.85</v>
      </c>
      <c r="P295" s="576">
        <v>194.827338</v>
      </c>
      <c r="Q295" s="486">
        <v>0.25700000000000001</v>
      </c>
      <c r="R295" s="2285"/>
      <c r="S295" s="587" t="s">
        <v>868</v>
      </c>
      <c r="T295" s="637" t="s">
        <v>869</v>
      </c>
      <c r="U295" s="560"/>
      <c r="V295" s="524"/>
      <c r="W295" s="525"/>
      <c r="X295" s="525"/>
      <c r="Y295" s="515"/>
      <c r="Z295" s="522"/>
      <c r="AA295" s="522"/>
      <c r="AB295" s="454"/>
      <c r="AC295" s="525"/>
      <c r="AD295" s="524"/>
      <c r="AE295" s="525"/>
      <c r="AF295" s="757"/>
      <c r="AG295" s="525"/>
      <c r="AH295" s="477"/>
      <c r="AI295" s="477"/>
      <c r="AJ295" s="477"/>
      <c r="AK295" s="477"/>
      <c r="AL295" s="477"/>
      <c r="AM295" s="477"/>
      <c r="AN295" s="477"/>
      <c r="AO295" s="477"/>
      <c r="AP295" s="477"/>
      <c r="AQ295" s="477"/>
      <c r="AR295" s="477"/>
      <c r="AS295" s="477"/>
      <c r="AT295" s="477"/>
      <c r="AU295" s="477"/>
      <c r="AV295" s="477"/>
      <c r="AW295" s="477"/>
      <c r="AX295" s="477"/>
      <c r="AY295" s="477"/>
      <c r="AZ295" s="477"/>
      <c r="BA295" s="477"/>
      <c r="BB295" s="477"/>
      <c r="BC295" s="477"/>
      <c r="BD295" s="477"/>
      <c r="BE295" s="477"/>
      <c r="BF295" s="477"/>
      <c r="BG295" s="477"/>
    </row>
    <row r="296" spans="1:123">
      <c r="A296" s="2337"/>
      <c r="B296" s="2273"/>
      <c r="C296" s="2345"/>
      <c r="D296" s="583" t="s">
        <v>1158</v>
      </c>
      <c r="E296" s="568">
        <v>3</v>
      </c>
      <c r="F296" s="817" t="s">
        <v>35</v>
      </c>
      <c r="G296" s="585" t="s">
        <v>35</v>
      </c>
      <c r="H296" s="549">
        <v>2895.67</v>
      </c>
      <c r="I296" s="550">
        <v>320.14999999999998</v>
      </c>
      <c r="J296" s="571" t="s">
        <v>35</v>
      </c>
      <c r="K296" s="572" t="s">
        <v>35</v>
      </c>
      <c r="L296" s="571" t="s">
        <v>35</v>
      </c>
      <c r="M296" s="572" t="s">
        <v>35</v>
      </c>
      <c r="N296" s="575">
        <v>0</v>
      </c>
      <c r="O296" s="576" t="s">
        <v>926</v>
      </c>
      <c r="P296" s="576" t="s">
        <v>926</v>
      </c>
      <c r="Q296" s="486">
        <v>0.112</v>
      </c>
      <c r="R296" s="2346"/>
      <c r="S296" s="568">
        <f>E291</f>
        <v>34</v>
      </c>
      <c r="T296" s="488" t="s">
        <v>35</v>
      </c>
      <c r="U296" s="452"/>
      <c r="V296" s="524"/>
      <c r="W296" s="525"/>
      <c r="X296" s="525"/>
      <c r="Y296" s="515"/>
      <c r="Z296" s="515"/>
      <c r="AA296" s="515"/>
      <c r="AB296" s="454"/>
      <c r="AC296" s="525"/>
      <c r="AD296" s="524"/>
      <c r="AE296" s="525"/>
      <c r="AF296" s="757"/>
      <c r="AG296" s="525"/>
      <c r="AH296" s="477"/>
      <c r="AI296" s="477"/>
      <c r="AJ296" s="477"/>
      <c r="AK296" s="477"/>
      <c r="AL296" s="477"/>
      <c r="AM296" s="477"/>
      <c r="AN296" s="477"/>
      <c r="AO296" s="477"/>
      <c r="AP296" s="477"/>
      <c r="AQ296" s="477"/>
      <c r="AR296" s="477"/>
      <c r="AS296" s="477"/>
      <c r="AT296" s="477"/>
      <c r="AU296" s="477"/>
      <c r="AV296" s="477"/>
      <c r="AW296" s="477"/>
      <c r="AX296" s="477"/>
      <c r="AY296" s="477"/>
      <c r="AZ296" s="477"/>
      <c r="BA296" s="477"/>
      <c r="BB296" s="477"/>
      <c r="BC296" s="477"/>
      <c r="BD296" s="477"/>
      <c r="BE296" s="477"/>
      <c r="BF296" s="477"/>
      <c r="BG296" s="477"/>
    </row>
    <row r="297" spans="1:123" ht="15" customHeight="1">
      <c r="A297" s="2337"/>
      <c r="B297" s="2308" t="s">
        <v>1021</v>
      </c>
      <c r="C297" s="802"/>
      <c r="D297" s="525"/>
      <c r="E297" s="525"/>
      <c r="F297" s="525"/>
      <c r="G297" s="525"/>
      <c r="H297" s="525"/>
      <c r="I297" s="525"/>
      <c r="J297" s="757"/>
      <c r="K297" s="525"/>
      <c r="L297" s="757"/>
      <c r="M297" s="525"/>
      <c r="N297" s="822"/>
      <c r="O297" s="823"/>
      <c r="P297" s="823"/>
      <c r="Q297" s="605"/>
      <c r="R297" s="605"/>
      <c r="S297" s="667" t="s">
        <v>876</v>
      </c>
      <c r="T297" s="637" t="s">
        <v>877</v>
      </c>
      <c r="U297" s="560"/>
      <c r="V297" s="524"/>
      <c r="W297" s="525"/>
      <c r="X297" s="525"/>
      <c r="Y297" s="515"/>
      <c r="Z297" s="515"/>
      <c r="AA297" s="515"/>
      <c r="AB297" s="454"/>
      <c r="AC297" s="525"/>
      <c r="AD297" s="524"/>
      <c r="AE297" s="525"/>
      <c r="AF297" s="757"/>
      <c r="AG297" s="525"/>
      <c r="AH297" s="477"/>
      <c r="AI297" s="477"/>
      <c r="AJ297" s="477"/>
      <c r="AK297" s="477"/>
      <c r="AL297" s="477"/>
      <c r="AM297" s="477"/>
      <c r="AN297" s="477"/>
      <c r="AO297" s="477"/>
      <c r="AP297" s="477"/>
      <c r="AQ297" s="477"/>
      <c r="AR297" s="477"/>
      <c r="AS297" s="477"/>
      <c r="AT297" s="477"/>
      <c r="AU297" s="477"/>
      <c r="AV297" s="477"/>
      <c r="AW297" s="477"/>
      <c r="AX297" s="477"/>
      <c r="AY297" s="477"/>
      <c r="AZ297" s="477"/>
      <c r="BA297" s="477"/>
      <c r="BB297" s="477"/>
      <c r="BC297" s="477"/>
      <c r="BD297" s="477"/>
      <c r="BE297" s="477"/>
      <c r="BF297" s="477"/>
      <c r="BG297" s="477"/>
    </row>
    <row r="298" spans="1:123">
      <c r="A298" s="2337"/>
      <c r="B298" s="2308"/>
      <c r="C298" s="515"/>
      <c r="D298" s="525"/>
      <c r="E298" s="525"/>
      <c r="F298" s="525"/>
      <c r="G298" s="525"/>
      <c r="H298" s="525"/>
      <c r="I298" s="525"/>
      <c r="J298" s="757"/>
      <c r="K298" s="525"/>
      <c r="L298" s="757"/>
      <c r="M298" s="525"/>
      <c r="N298" s="822"/>
      <c r="O298" s="823"/>
      <c r="P298" s="823"/>
      <c r="Q298" s="605"/>
      <c r="R298" s="605"/>
      <c r="S298" s="669">
        <v>0.94089800000000001</v>
      </c>
      <c r="T298" s="1070">
        <v>-2912.991931</v>
      </c>
      <c r="U298" s="600"/>
      <c r="V298" s="524"/>
      <c r="W298" s="525"/>
      <c r="X298" s="525"/>
      <c r="Y298" s="515"/>
      <c r="Z298" s="515"/>
      <c r="AA298" s="515"/>
      <c r="AB298" s="454"/>
      <c r="AC298" s="525"/>
      <c r="AD298" s="524"/>
      <c r="AE298" s="525"/>
      <c r="AF298" s="757"/>
      <c r="AG298" s="525"/>
      <c r="AH298" s="477"/>
      <c r="AI298" s="477"/>
      <c r="AJ298" s="477"/>
      <c r="AK298" s="477"/>
      <c r="AL298" s="477"/>
      <c r="AM298" s="477"/>
      <c r="AN298" s="477"/>
      <c r="AO298" s="477"/>
      <c r="AP298" s="477"/>
      <c r="AQ298" s="477"/>
      <c r="AR298" s="477"/>
      <c r="AS298" s="477"/>
      <c r="AT298" s="477"/>
      <c r="AU298" s="477"/>
      <c r="AV298" s="477"/>
      <c r="AW298" s="477"/>
      <c r="AX298" s="477"/>
      <c r="AY298" s="477"/>
      <c r="AZ298" s="477"/>
      <c r="BA298" s="477"/>
      <c r="BB298" s="477"/>
      <c r="BC298" s="477"/>
      <c r="BD298" s="477"/>
      <c r="BE298" s="477"/>
      <c r="BF298" s="477"/>
      <c r="BG298" s="477"/>
    </row>
    <row r="299" spans="1:123">
      <c r="A299" s="2337"/>
      <c r="B299" s="2308"/>
      <c r="C299" s="515"/>
      <c r="D299" s="525"/>
      <c r="E299" s="525"/>
      <c r="F299" s="525"/>
      <c r="G299" s="525"/>
      <c r="H299" s="525"/>
      <c r="I299" s="525"/>
      <c r="J299" s="757"/>
      <c r="K299" s="525"/>
      <c r="L299" s="757"/>
      <c r="M299" s="525"/>
      <c r="N299" s="822"/>
      <c r="O299" s="823"/>
      <c r="P299" s="823"/>
      <c r="Q299" s="605"/>
      <c r="R299" s="605"/>
      <c r="S299" s="498" t="s">
        <v>883</v>
      </c>
      <c r="T299" s="499" t="s">
        <v>884</v>
      </c>
      <c r="U299" s="470"/>
      <c r="V299" s="524"/>
      <c r="W299" s="525"/>
      <c r="X299" s="525"/>
      <c r="Y299" s="515"/>
      <c r="Z299" s="515"/>
      <c r="AA299" s="515"/>
      <c r="AB299" s="454"/>
      <c r="AC299" s="525"/>
      <c r="AD299" s="524"/>
      <c r="AE299" s="525"/>
      <c r="AF299" s="757"/>
      <c r="AG299" s="525"/>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7"/>
      <c r="BC299" s="477"/>
      <c r="BD299" s="477"/>
      <c r="BE299" s="477"/>
      <c r="BF299" s="477"/>
      <c r="BG299" s="477"/>
    </row>
    <row r="300" spans="1:123" ht="15" thickBot="1">
      <c r="A300" s="2337"/>
      <c r="B300" s="2331"/>
      <c r="C300" s="515"/>
      <c r="D300" s="525"/>
      <c r="E300" s="525"/>
      <c r="F300" s="525"/>
      <c r="G300" s="525"/>
      <c r="H300" s="525"/>
      <c r="I300" s="525"/>
      <c r="J300" s="988"/>
      <c r="K300" s="676"/>
      <c r="L300" s="988"/>
      <c r="M300" s="676"/>
      <c r="N300" s="822"/>
      <c r="O300" s="823"/>
      <c r="P300" s="823"/>
      <c r="Q300" s="605"/>
      <c r="R300" s="605"/>
      <c r="S300" s="568">
        <v>182.44</v>
      </c>
      <c r="T300" s="956">
        <v>0.2</v>
      </c>
      <c r="U300" s="603"/>
      <c r="V300" s="524"/>
      <c r="W300" s="525"/>
      <c r="X300" s="525"/>
      <c r="Y300" s="515"/>
      <c r="Z300" s="616"/>
      <c r="AA300" s="616"/>
      <c r="AB300" s="454"/>
      <c r="AC300" s="525"/>
      <c r="AD300" s="675"/>
      <c r="AE300" s="676"/>
      <c r="AF300" s="757"/>
      <c r="AG300" s="525"/>
      <c r="AH300" s="477"/>
      <c r="AI300" s="477"/>
      <c r="AJ300" s="477"/>
      <c r="AK300" s="477"/>
      <c r="AL300" s="477"/>
      <c r="AM300" s="477"/>
      <c r="AN300" s="477"/>
      <c r="AO300" s="477"/>
      <c r="AP300" s="477"/>
      <c r="AQ300" s="477"/>
      <c r="AR300" s="477"/>
      <c r="AS300" s="477"/>
      <c r="AT300" s="477"/>
      <c r="AU300" s="477"/>
      <c r="AV300" s="477"/>
      <c r="AW300" s="477"/>
      <c r="AX300" s="477"/>
      <c r="AY300" s="477"/>
      <c r="AZ300" s="477"/>
      <c r="BA300" s="477"/>
      <c r="BB300" s="477"/>
      <c r="BC300" s="477"/>
      <c r="BD300" s="477"/>
      <c r="BE300" s="477"/>
      <c r="BF300" s="477"/>
      <c r="BG300" s="477"/>
    </row>
    <row r="301" spans="1:123" s="626" customFormat="1" ht="8.25" customHeight="1" thickBot="1">
      <c r="A301" s="540"/>
      <c r="B301" s="541"/>
      <c r="C301" s="444"/>
      <c r="D301" s="445"/>
      <c r="E301" s="445"/>
      <c r="F301" s="445"/>
      <c r="G301" s="445"/>
      <c r="H301" s="445"/>
      <c r="I301" s="445"/>
      <c r="J301" s="446"/>
      <c r="K301" s="445"/>
      <c r="L301" s="446"/>
      <c r="M301" s="447"/>
      <c r="N301" s="448"/>
      <c r="O301" s="449"/>
      <c r="P301" s="449"/>
      <c r="Q301" s="450"/>
      <c r="R301" s="450"/>
      <c r="S301" s="451"/>
      <c r="T301" s="451"/>
      <c r="U301" s="452"/>
      <c r="V301" s="453"/>
      <c r="W301" s="447"/>
      <c r="X301" s="447"/>
      <c r="Y301" s="451"/>
      <c r="Z301" s="451"/>
      <c r="AA301" s="451"/>
      <c r="AB301" s="454"/>
      <c r="AC301" s="447"/>
      <c r="AD301" s="447"/>
      <c r="AE301" s="447"/>
      <c r="AF301" s="455"/>
      <c r="AG301" s="447"/>
      <c r="AH301" s="653"/>
      <c r="AI301" s="653"/>
      <c r="AJ301" s="653"/>
      <c r="AK301" s="653"/>
      <c r="AL301" s="653"/>
      <c r="AM301" s="456"/>
      <c r="AN301" s="456"/>
      <c r="AO301" s="456"/>
      <c r="AP301" s="456"/>
      <c r="AQ301" s="456"/>
      <c r="AR301" s="456"/>
      <c r="AS301" s="456"/>
      <c r="AT301" s="456"/>
      <c r="AU301" s="456"/>
      <c r="AV301" s="456"/>
      <c r="AW301" s="456"/>
      <c r="AX301" s="456"/>
      <c r="AY301" s="456"/>
      <c r="AZ301" s="456"/>
      <c r="BA301" s="456"/>
      <c r="BB301" s="456"/>
      <c r="BC301" s="456"/>
      <c r="BD301" s="456"/>
      <c r="BE301" s="456"/>
      <c r="BF301" s="456"/>
      <c r="BG301" s="456"/>
      <c r="BH301" s="432"/>
      <c r="CF301" s="542"/>
      <c r="CG301" s="542"/>
      <c r="CH301" s="542"/>
      <c r="CI301" s="542"/>
      <c r="CJ301" s="542"/>
      <c r="CK301" s="542"/>
      <c r="CL301" s="542"/>
      <c r="CM301" s="542"/>
      <c r="CN301" s="542"/>
      <c r="CO301" s="542"/>
      <c r="CP301" s="542"/>
      <c r="CQ301" s="542"/>
      <c r="CR301" s="542"/>
      <c r="CS301" s="542"/>
      <c r="CT301" s="542"/>
      <c r="CU301" s="542"/>
      <c r="CV301" s="542"/>
      <c r="CW301" s="542"/>
      <c r="CX301" s="542"/>
      <c r="CY301" s="542"/>
      <c r="CZ301" s="542"/>
      <c r="DA301" s="542"/>
      <c r="DB301" s="542"/>
      <c r="DC301" s="542"/>
      <c r="DD301" s="542"/>
      <c r="DE301" s="542"/>
      <c r="DF301" s="542"/>
      <c r="DG301" s="542"/>
      <c r="DH301" s="542"/>
      <c r="DI301" s="543"/>
      <c r="DJ301" s="542"/>
      <c r="DK301" s="542"/>
      <c r="DL301" s="542"/>
      <c r="DM301" s="542"/>
      <c r="DN301" s="542"/>
      <c r="DO301" s="542"/>
      <c r="DP301" s="542"/>
      <c r="DQ301" s="542"/>
      <c r="DR301" s="542"/>
      <c r="DS301" s="542"/>
    </row>
    <row r="302" spans="1:123" s="806" customFormat="1" ht="28.8">
      <c r="A302" s="2336" t="s">
        <v>549</v>
      </c>
      <c r="B302" s="984" t="s">
        <v>546</v>
      </c>
      <c r="C302" s="832" t="s">
        <v>853</v>
      </c>
      <c r="D302" s="1071" t="s">
        <v>1266</v>
      </c>
      <c r="E302" s="1071">
        <v>39</v>
      </c>
      <c r="F302" s="1071">
        <v>127384.6</v>
      </c>
      <c r="G302" s="1071">
        <v>53567.77</v>
      </c>
      <c r="H302" s="1072">
        <v>11172.4</v>
      </c>
      <c r="I302" s="1073">
        <v>5748.77</v>
      </c>
      <c r="J302" s="495" t="s">
        <v>855</v>
      </c>
      <c r="K302" s="1074" t="s">
        <v>1267</v>
      </c>
      <c r="L302" s="834" t="s">
        <v>35</v>
      </c>
      <c r="M302" s="697" t="s">
        <v>35</v>
      </c>
      <c r="N302" s="1075">
        <v>8.8907E-2</v>
      </c>
      <c r="O302" s="1076">
        <v>10.44</v>
      </c>
      <c r="P302" s="1076">
        <v>8.5199999999999998E-3</v>
      </c>
      <c r="Q302" s="1077" t="s">
        <v>35</v>
      </c>
      <c r="R302" s="1078">
        <f>N302</f>
        <v>8.8907E-2</v>
      </c>
      <c r="S302" s="658" t="s">
        <v>841</v>
      </c>
      <c r="T302" s="659" t="s">
        <v>842</v>
      </c>
      <c r="U302" s="560"/>
      <c r="V302" s="2332" t="s">
        <v>843</v>
      </c>
      <c r="W302" s="177" t="s">
        <v>175</v>
      </c>
      <c r="X302" s="177" t="s">
        <v>1268</v>
      </c>
      <c r="Y302" s="698">
        <f>((187000*$R$302)+($R$303*10.6)+$R$306+$R$304+$T$309)*(1+$T$311)</f>
        <v>18560.517225636922</v>
      </c>
      <c r="Z302" s="178" t="s">
        <v>918</v>
      </c>
      <c r="AA302" s="500" t="s">
        <v>918</v>
      </c>
      <c r="AB302" s="801"/>
      <c r="AC302" s="802"/>
      <c r="AD302" s="708"/>
      <c r="AE302" s="802"/>
      <c r="AF302" s="803" t="s">
        <v>174</v>
      </c>
      <c r="AG302" s="177" t="s">
        <v>1269</v>
      </c>
      <c r="AH302" s="695">
        <f>((90000*$R$302)+($R$303*10.7)+$R$306+$R$304+$T$309)*1.2</f>
        <v>8406.5937483969246</v>
      </c>
      <c r="AI302" s="695">
        <f>4000*1.2</f>
        <v>4800</v>
      </c>
      <c r="AJ302" s="695"/>
      <c r="AK302" s="695"/>
      <c r="AL302" s="695"/>
      <c r="AM302" s="783"/>
      <c r="AN302" s="783"/>
      <c r="AO302" s="783"/>
      <c r="AP302" s="783"/>
      <c r="AQ302" s="783"/>
      <c r="AR302" s="783"/>
      <c r="AS302" s="783"/>
      <c r="AT302" s="783"/>
      <c r="AU302" s="783"/>
      <c r="AV302" s="783"/>
      <c r="AW302" s="783"/>
      <c r="AX302" s="783"/>
      <c r="AY302" s="783"/>
      <c r="AZ302" s="783"/>
      <c r="BA302" s="783"/>
      <c r="BB302" s="783"/>
      <c r="BC302" s="783"/>
      <c r="BD302" s="783"/>
      <c r="BE302" s="783"/>
      <c r="BF302" s="783"/>
      <c r="BG302" s="783"/>
      <c r="BH302" s="843"/>
      <c r="CF302" s="807"/>
      <c r="CG302" s="807"/>
      <c r="CH302" s="807"/>
      <c r="CI302" s="807"/>
      <c r="CJ302" s="807"/>
      <c r="CK302" s="807"/>
      <c r="CL302" s="807"/>
      <c r="CM302" s="807"/>
      <c r="CN302" s="807"/>
      <c r="CO302" s="807"/>
      <c r="CP302" s="807"/>
      <c r="CQ302" s="807"/>
      <c r="CR302" s="807"/>
      <c r="CS302" s="807"/>
      <c r="CT302" s="807"/>
      <c r="CU302" s="807"/>
      <c r="CV302" s="807"/>
      <c r="CW302" s="807"/>
      <c r="CX302" s="807"/>
      <c r="CY302" s="807"/>
      <c r="CZ302" s="807"/>
      <c r="DA302" s="807"/>
      <c r="DB302" s="807"/>
      <c r="DC302" s="807"/>
      <c r="DD302" s="807"/>
      <c r="DE302" s="807"/>
      <c r="DF302" s="807"/>
      <c r="DG302" s="807"/>
      <c r="DH302" s="807"/>
      <c r="DI302" s="808"/>
      <c r="DJ302" s="807"/>
      <c r="DK302" s="807"/>
      <c r="DL302" s="807"/>
      <c r="DM302" s="807"/>
      <c r="DN302" s="807"/>
      <c r="DO302" s="807"/>
      <c r="DP302" s="807"/>
      <c r="DQ302" s="807"/>
      <c r="DR302" s="807"/>
      <c r="DS302" s="807"/>
    </row>
    <row r="303" spans="1:123">
      <c r="A303" s="2337"/>
      <c r="B303" s="566" t="s">
        <v>521</v>
      </c>
      <c r="C303" s="493" t="s">
        <v>853</v>
      </c>
      <c r="D303" s="846" t="s">
        <v>1270</v>
      </c>
      <c r="E303" s="809">
        <v>39</v>
      </c>
      <c r="F303" s="598">
        <v>11.21923</v>
      </c>
      <c r="G303" s="598">
        <v>0.61554600000000004</v>
      </c>
      <c r="H303" s="549">
        <v>11172.4</v>
      </c>
      <c r="I303" s="550">
        <v>5748.77</v>
      </c>
      <c r="J303" s="1079" t="s">
        <v>853</v>
      </c>
      <c r="K303" s="574" t="s">
        <v>1271</v>
      </c>
      <c r="L303" s="571" t="s">
        <v>35</v>
      </c>
      <c r="M303" s="572" t="s">
        <v>35</v>
      </c>
      <c r="N303" s="575">
        <v>1623.761023</v>
      </c>
      <c r="O303" s="576">
        <v>1.99</v>
      </c>
      <c r="P303" s="576">
        <v>813.92516000000001</v>
      </c>
      <c r="Q303" s="577" t="s">
        <v>35</v>
      </c>
      <c r="R303" s="486">
        <f>N303</f>
        <v>1623.761023</v>
      </c>
      <c r="S303" s="665" t="s">
        <v>1160</v>
      </c>
      <c r="T303" s="500" t="s">
        <v>1065</v>
      </c>
      <c r="U303" s="591"/>
      <c r="V303" s="2333"/>
      <c r="W303" s="177" t="s">
        <v>174</v>
      </c>
      <c r="X303" s="92" t="s">
        <v>1272</v>
      </c>
      <c r="Y303" s="563">
        <f>((187000*$R$302)+($R$303*11.5)+$R$306+$R$304+$T$309)*(1+$T$311)</f>
        <v>20314.179130476925</v>
      </c>
      <c r="Z303" s="563">
        <f>Y303-Y302</f>
        <v>1753.6619048400025</v>
      </c>
      <c r="AA303" s="581">
        <f>(11.5-10.6)*$P$303</f>
        <v>732.53264400000035</v>
      </c>
      <c r="AB303" s="582"/>
      <c r="AC303" s="525"/>
      <c r="AD303" s="524"/>
      <c r="AE303" s="525"/>
      <c r="AF303" s="495" t="s">
        <v>175</v>
      </c>
      <c r="AG303" s="177" t="s">
        <v>1273</v>
      </c>
      <c r="AH303" s="660">
        <f>((120000*$R$302)+($R$303*10.9)+$R$306+$R$304+$T$309)*1.2</f>
        <v>11996.948393916928</v>
      </c>
      <c r="AI303" s="660"/>
      <c r="AJ303" s="660">
        <f>748*10</f>
        <v>7480</v>
      </c>
      <c r="AK303" s="660"/>
      <c r="AL303" s="660"/>
      <c r="AM303" s="477"/>
      <c r="AN303" s="477"/>
      <c r="AO303" s="477"/>
      <c r="AP303" s="477"/>
      <c r="AQ303" s="477"/>
      <c r="AR303" s="477"/>
      <c r="AS303" s="477"/>
      <c r="AT303" s="477"/>
      <c r="AU303" s="477"/>
      <c r="AV303" s="477"/>
      <c r="AW303" s="477"/>
      <c r="AX303" s="477"/>
      <c r="AY303" s="477"/>
      <c r="AZ303" s="477"/>
      <c r="BA303" s="477"/>
      <c r="BB303" s="477"/>
      <c r="BC303" s="477"/>
      <c r="BD303" s="477"/>
      <c r="BE303" s="477"/>
      <c r="BF303" s="477"/>
      <c r="BG303" s="477"/>
    </row>
    <row r="304" spans="1:123">
      <c r="A304" s="2337"/>
      <c r="B304" s="2273" t="s">
        <v>1274</v>
      </c>
      <c r="C304" s="2274" t="s">
        <v>839</v>
      </c>
      <c r="D304" s="1080" t="s">
        <v>64</v>
      </c>
      <c r="E304" s="809">
        <v>34</v>
      </c>
      <c r="F304" s="585" t="s">
        <v>35</v>
      </c>
      <c r="G304" s="585" t="s">
        <v>35</v>
      </c>
      <c r="H304" s="549">
        <v>10171.379999999999</v>
      </c>
      <c r="I304" s="550">
        <v>5281.06</v>
      </c>
      <c r="J304" s="571" t="s">
        <v>35</v>
      </c>
      <c r="K304" s="572" t="s">
        <v>35</v>
      </c>
      <c r="L304" s="571" t="s">
        <v>35</v>
      </c>
      <c r="M304" s="572" t="s">
        <v>35</v>
      </c>
      <c r="N304" s="575">
        <v>-6775.3744420000003</v>
      </c>
      <c r="O304" s="576">
        <v>-5.07</v>
      </c>
      <c r="P304" s="576">
        <v>1337.593893</v>
      </c>
      <c r="Q304" s="486">
        <f t="shared" ref="Q304:Q310" si="17">E304/$E$303</f>
        <v>0.87179487179487181</v>
      </c>
      <c r="R304" s="2285">
        <f>SUMPRODUCT(Q304:Q305,N304:N305)</f>
        <v>-5906.7366930256412</v>
      </c>
      <c r="S304" s="667" t="s">
        <v>858</v>
      </c>
      <c r="T304" s="499" t="s">
        <v>859</v>
      </c>
      <c r="U304" s="470"/>
      <c r="V304" s="2333"/>
      <c r="W304" s="177" t="s">
        <v>174</v>
      </c>
      <c r="X304" s="92" t="s">
        <v>1275</v>
      </c>
      <c r="Y304" s="563">
        <f>((187000*$R$302)+($R$303*12)+$R$306+$R$304+$T$309)*(1+$T$311)</f>
        <v>21288.435744276921</v>
      </c>
      <c r="Z304" s="563">
        <f>Y304-Y302</f>
        <v>2727.9185186399991</v>
      </c>
      <c r="AA304" s="581">
        <f>(12-10.6)*$P$303</f>
        <v>1139.4952240000002</v>
      </c>
      <c r="AB304" s="582"/>
      <c r="AC304" s="525"/>
      <c r="AD304" s="524"/>
      <c r="AE304" s="525"/>
      <c r="AF304" s="495" t="s">
        <v>175</v>
      </c>
      <c r="AG304" s="92" t="s">
        <v>1276</v>
      </c>
      <c r="AH304" s="660">
        <f>((180000*$R$302)+($R$303*10.5)+$R$306+$R$304+$T$309)*1.2</f>
        <v>17618.847102876924</v>
      </c>
      <c r="AI304" s="660"/>
      <c r="AJ304" s="660">
        <f>739*15</f>
        <v>11085</v>
      </c>
      <c r="AK304" s="660"/>
      <c r="AL304" s="660">
        <f>1075*15</f>
        <v>16125</v>
      </c>
      <c r="AM304" s="477"/>
      <c r="AN304" s="477"/>
      <c r="AO304" s="477"/>
      <c r="AP304" s="477"/>
      <c r="AQ304" s="477"/>
      <c r="AR304" s="477"/>
      <c r="AS304" s="477"/>
      <c r="AT304" s="477"/>
      <c r="AU304" s="477"/>
      <c r="AV304" s="477"/>
      <c r="AW304" s="477"/>
      <c r="AX304" s="477"/>
      <c r="AY304" s="477"/>
      <c r="AZ304" s="477"/>
      <c r="BA304" s="477"/>
      <c r="BB304" s="477"/>
      <c r="BC304" s="477"/>
      <c r="BD304" s="477"/>
      <c r="BE304" s="477"/>
      <c r="BF304" s="477"/>
      <c r="BG304" s="477"/>
    </row>
    <row r="305" spans="1:113">
      <c r="A305" s="2337"/>
      <c r="B305" s="2273"/>
      <c r="C305" s="2274"/>
      <c r="D305" s="1080" t="s">
        <v>840</v>
      </c>
      <c r="E305" s="809">
        <v>5</v>
      </c>
      <c r="F305" s="585" t="s">
        <v>35</v>
      </c>
      <c r="G305" s="585" t="s">
        <v>35</v>
      </c>
      <c r="H305" s="549">
        <v>17979.3</v>
      </c>
      <c r="I305" s="550">
        <v>4175.55</v>
      </c>
      <c r="J305" s="571" t="s">
        <v>35</v>
      </c>
      <c r="K305" s="572" t="s">
        <v>35</v>
      </c>
      <c r="L305" s="571" t="s">
        <v>35</v>
      </c>
      <c r="M305" s="572" t="s">
        <v>35</v>
      </c>
      <c r="N305" s="575">
        <v>0</v>
      </c>
      <c r="O305" s="773" t="s">
        <v>847</v>
      </c>
      <c r="P305" s="773" t="s">
        <v>847</v>
      </c>
      <c r="Q305" s="486">
        <f t="shared" si="17"/>
        <v>0.12820512820512819</v>
      </c>
      <c r="R305" s="2285"/>
      <c r="S305" s="748" t="s">
        <v>310</v>
      </c>
      <c r="T305" s="749" t="s">
        <v>1019</v>
      </c>
      <c r="U305" s="591"/>
      <c r="V305" s="2333"/>
      <c r="W305" s="177" t="s">
        <v>175</v>
      </c>
      <c r="X305" s="92" t="s">
        <v>1277</v>
      </c>
      <c r="Y305" s="563">
        <f>((77000*$R$302)+($R$303*11)+$R$306+$R$304+$T$309)*(1+$T$311)</f>
        <v>7604.1985166769264</v>
      </c>
      <c r="Z305" s="487" t="s">
        <v>918</v>
      </c>
      <c r="AA305" s="488" t="s">
        <v>918</v>
      </c>
      <c r="AB305" s="454"/>
      <c r="AC305" s="525"/>
      <c r="AD305" s="524"/>
      <c r="AE305" s="525"/>
      <c r="AF305" s="495" t="s">
        <v>175</v>
      </c>
      <c r="AG305" s="92" t="s">
        <v>1278</v>
      </c>
      <c r="AH305" s="660">
        <f>((120000*$R$302)+($R$303*11)+$R$306+$R$304+$T$309)*1.2</f>
        <v>12191.799716676924</v>
      </c>
      <c r="AI305" s="660"/>
      <c r="AJ305" s="660"/>
      <c r="AK305" s="660">
        <f>1020*10</f>
        <v>10200</v>
      </c>
      <c r="AL305" s="660"/>
      <c r="AM305" s="477"/>
      <c r="AN305" s="477"/>
      <c r="AO305" s="477"/>
      <c r="AP305" s="477"/>
      <c r="AQ305" s="477"/>
      <c r="AR305" s="477"/>
      <c r="AS305" s="477"/>
      <c r="AT305" s="477"/>
      <c r="AU305" s="477"/>
      <c r="AV305" s="477"/>
      <c r="AW305" s="477"/>
      <c r="AX305" s="477"/>
      <c r="AY305" s="477"/>
      <c r="AZ305" s="477"/>
      <c r="BA305" s="477"/>
      <c r="BB305" s="477"/>
      <c r="BC305" s="477"/>
      <c r="BD305" s="477"/>
      <c r="BE305" s="477"/>
      <c r="BF305" s="477"/>
      <c r="BG305" s="477"/>
    </row>
    <row r="306" spans="1:113">
      <c r="A306" s="2337"/>
      <c r="B306" s="2273" t="s">
        <v>1279</v>
      </c>
      <c r="C306" s="2274" t="s">
        <v>862</v>
      </c>
      <c r="D306" s="809" t="s">
        <v>1280</v>
      </c>
      <c r="E306" s="809">
        <v>7</v>
      </c>
      <c r="F306" s="585" t="s">
        <v>35</v>
      </c>
      <c r="G306" s="585" t="s">
        <v>35</v>
      </c>
      <c r="H306" s="549">
        <v>8118.31</v>
      </c>
      <c r="I306" s="550">
        <v>3922.94</v>
      </c>
      <c r="J306" s="571" t="s">
        <v>35</v>
      </c>
      <c r="K306" s="572" t="s">
        <v>35</v>
      </c>
      <c r="L306" s="571" t="s">
        <v>35</v>
      </c>
      <c r="M306" s="572" t="s">
        <v>35</v>
      </c>
      <c r="N306" s="575">
        <v>-5622.1753310000004</v>
      </c>
      <c r="O306" s="576">
        <v>-4.4400000000000004</v>
      </c>
      <c r="P306" s="576">
        <v>1264.845638</v>
      </c>
      <c r="Q306" s="486">
        <f t="shared" si="17"/>
        <v>0.17948717948717949</v>
      </c>
      <c r="R306" s="2285">
        <f>SUMPRODUCT(Q306:Q310,N306:N310)</f>
        <v>-3133.8976007435904</v>
      </c>
      <c r="S306" s="667" t="s">
        <v>868</v>
      </c>
      <c r="T306" s="637" t="s">
        <v>869</v>
      </c>
      <c r="U306" s="560"/>
      <c r="V306" s="2333"/>
      <c r="W306" s="177" t="s">
        <v>174</v>
      </c>
      <c r="X306" s="92" t="s">
        <v>1281</v>
      </c>
      <c r="Y306" s="563">
        <f>((77000*$R$302)+($R$303*11.5)+$R$306+$R$304+$T$309)*(1+$T$311)</f>
        <v>8578.4551304769284</v>
      </c>
      <c r="Z306" s="563">
        <f>Y306-Y305</f>
        <v>974.25661380000201</v>
      </c>
      <c r="AA306" s="581">
        <f>(11.5-11)*$P$303</f>
        <v>406.96258</v>
      </c>
      <c r="AB306" s="582"/>
      <c r="AC306" s="525"/>
      <c r="AD306" s="524"/>
      <c r="AE306" s="525"/>
      <c r="AF306" s="495" t="s">
        <v>175</v>
      </c>
      <c r="AG306" s="92" t="s">
        <v>1282</v>
      </c>
      <c r="AH306" s="660">
        <f>((360000*$R$302)+($R$303*10.5)+$R$306+$R$304+$T$309)*1.2</f>
        <v>36822.759102876924</v>
      </c>
      <c r="AI306" s="660"/>
      <c r="AJ306" s="660">
        <f>729*30</f>
        <v>21870</v>
      </c>
      <c r="AK306" s="660"/>
      <c r="AL306" s="660"/>
      <c r="AM306" s="477"/>
      <c r="AN306" s="477"/>
      <c r="AO306" s="477"/>
      <c r="AP306" s="477"/>
      <c r="AQ306" s="477"/>
      <c r="AR306" s="477"/>
      <c r="AS306" s="477"/>
      <c r="AT306" s="477"/>
      <c r="AU306" s="477"/>
      <c r="AV306" s="477"/>
      <c r="AW306" s="477"/>
      <c r="AX306" s="477"/>
      <c r="AY306" s="477"/>
      <c r="AZ306" s="477"/>
      <c r="BA306" s="477"/>
      <c r="BB306" s="477"/>
      <c r="BC306" s="477"/>
      <c r="BD306" s="477"/>
      <c r="BE306" s="477"/>
      <c r="BF306" s="477"/>
      <c r="BG306" s="477"/>
    </row>
    <row r="307" spans="1:113">
      <c r="A307" s="2337"/>
      <c r="B307" s="2273"/>
      <c r="C307" s="2274"/>
      <c r="D307" s="809" t="s">
        <v>1261</v>
      </c>
      <c r="E307" s="809">
        <v>3</v>
      </c>
      <c r="F307" s="585" t="s">
        <v>35</v>
      </c>
      <c r="G307" s="585" t="s">
        <v>35</v>
      </c>
      <c r="H307" s="549">
        <v>14822.67</v>
      </c>
      <c r="I307" s="550">
        <v>7408.93</v>
      </c>
      <c r="J307" s="571" t="s">
        <v>35</v>
      </c>
      <c r="K307" s="572" t="s">
        <v>35</v>
      </c>
      <c r="L307" s="571" t="s">
        <v>35</v>
      </c>
      <c r="M307" s="572" t="s">
        <v>35</v>
      </c>
      <c r="N307" s="575">
        <v>-513.25068399999998</v>
      </c>
      <c r="O307" s="576">
        <v>-0.33</v>
      </c>
      <c r="P307" s="576">
        <v>1567.930445</v>
      </c>
      <c r="Q307" s="486">
        <f t="shared" si="17"/>
        <v>7.6923076923076927E-2</v>
      </c>
      <c r="R307" s="2285"/>
      <c r="S307" s="568">
        <f>E303</f>
        <v>39</v>
      </c>
      <c r="T307" s="488" t="s">
        <v>35</v>
      </c>
      <c r="U307" s="452"/>
      <c r="V307" s="2333"/>
      <c r="W307" s="177" t="s">
        <v>174</v>
      </c>
      <c r="X307" s="92" t="s">
        <v>1283</v>
      </c>
      <c r="Y307" s="563">
        <f>((77000*$R$302)+($R$303*12)+$R$306+$R$304+$T$309)*(1+$T$311)</f>
        <v>9552.7117442769268</v>
      </c>
      <c r="Z307" s="563">
        <f>Y307-Y305</f>
        <v>1948.5132276000004</v>
      </c>
      <c r="AA307" s="581">
        <f>(12-11)*$P$303</f>
        <v>813.92516000000001</v>
      </c>
      <c r="AB307" s="582"/>
      <c r="AC307" s="525"/>
      <c r="AD307" s="524"/>
      <c r="AE307" s="525"/>
      <c r="AF307" s="1081"/>
      <c r="AG307" s="521"/>
      <c r="AH307" s="477"/>
      <c r="AI307" s="477"/>
      <c r="AJ307" s="477"/>
      <c r="AK307" s="477"/>
      <c r="AL307" s="477"/>
      <c r="AM307" s="477"/>
      <c r="AN307" s="477"/>
      <c r="AO307" s="477"/>
      <c r="AP307" s="477"/>
      <c r="AQ307" s="477"/>
      <c r="AR307" s="477"/>
      <c r="AS307" s="477"/>
      <c r="AT307" s="477"/>
      <c r="AU307" s="477"/>
      <c r="AV307" s="477"/>
      <c r="AW307" s="477"/>
      <c r="AX307" s="477"/>
      <c r="AY307" s="477"/>
      <c r="AZ307" s="477"/>
      <c r="BA307" s="477"/>
      <c r="BB307" s="477"/>
      <c r="BC307" s="477"/>
      <c r="BD307" s="477"/>
      <c r="BE307" s="477"/>
      <c r="BF307" s="477"/>
      <c r="BG307" s="477"/>
    </row>
    <row r="308" spans="1:113">
      <c r="A308" s="2337"/>
      <c r="B308" s="2273"/>
      <c r="C308" s="2274"/>
      <c r="D308" s="809" t="s">
        <v>1284</v>
      </c>
      <c r="E308" s="809">
        <v>14</v>
      </c>
      <c r="F308" s="585" t="s">
        <v>35</v>
      </c>
      <c r="G308" s="585" t="s">
        <v>35</v>
      </c>
      <c r="H308" s="549">
        <v>11105.32</v>
      </c>
      <c r="I308" s="550">
        <v>6184.71</v>
      </c>
      <c r="J308" s="571" t="s">
        <v>35</v>
      </c>
      <c r="K308" s="572" t="s">
        <v>35</v>
      </c>
      <c r="L308" s="571" t="s">
        <v>35</v>
      </c>
      <c r="M308" s="572" t="s">
        <v>35</v>
      </c>
      <c r="N308" s="575">
        <v>-5020.2660990000004</v>
      </c>
      <c r="O308" s="576">
        <v>-4.68</v>
      </c>
      <c r="P308" s="576">
        <v>1072.6951979999999</v>
      </c>
      <c r="Q308" s="486">
        <f t="shared" si="17"/>
        <v>0.35897435897435898</v>
      </c>
      <c r="R308" s="2285"/>
      <c r="S308" s="667" t="s">
        <v>876</v>
      </c>
      <c r="T308" s="637" t="s">
        <v>877</v>
      </c>
      <c r="U308" s="560"/>
      <c r="V308" s="2333"/>
      <c r="W308" s="177" t="s">
        <v>175</v>
      </c>
      <c r="X308" s="92" t="s">
        <v>1285</v>
      </c>
      <c r="Y308" s="563">
        <f>((112000*$R$302)+($R$303*11)+$R$306+$R$304+$T$309)*(1+$T$311)</f>
        <v>11338.292516676922</v>
      </c>
      <c r="Z308" s="487" t="s">
        <v>918</v>
      </c>
      <c r="AA308" s="488" t="s">
        <v>918</v>
      </c>
      <c r="AB308" s="454"/>
      <c r="AC308" s="525"/>
      <c r="AD308" s="524"/>
      <c r="AE308" s="525"/>
      <c r="AF308" s="860"/>
      <c r="AG308" s="525"/>
      <c r="AH308" s="477"/>
      <c r="AI308" s="477"/>
      <c r="AJ308" s="477"/>
      <c r="AK308" s="477"/>
      <c r="AL308" s="477"/>
      <c r="AM308" s="477"/>
      <c r="AN308" s="477"/>
      <c r="AO308" s="477"/>
      <c r="AP308" s="477"/>
      <c r="AQ308" s="477"/>
      <c r="AR308" s="477"/>
      <c r="AS308" s="477"/>
      <c r="AT308" s="477"/>
      <c r="AU308" s="477"/>
      <c r="AV308" s="477"/>
      <c r="AW308" s="477"/>
      <c r="AX308" s="477"/>
      <c r="AY308" s="477"/>
      <c r="AZ308" s="477"/>
      <c r="BA308" s="477"/>
      <c r="BB308" s="477"/>
      <c r="BC308" s="477"/>
      <c r="BD308" s="477"/>
      <c r="BE308" s="477"/>
      <c r="BF308" s="477"/>
      <c r="BG308" s="477"/>
    </row>
    <row r="309" spans="1:113">
      <c r="A309" s="2337"/>
      <c r="B309" s="2273"/>
      <c r="C309" s="2274"/>
      <c r="D309" s="809" t="s">
        <v>969</v>
      </c>
      <c r="E309" s="809">
        <v>9</v>
      </c>
      <c r="F309" s="585" t="s">
        <v>35</v>
      </c>
      <c r="G309" s="585" t="s">
        <v>35</v>
      </c>
      <c r="H309" s="549">
        <v>11775.87</v>
      </c>
      <c r="I309" s="550">
        <v>5076.6000000000004</v>
      </c>
      <c r="J309" s="571" t="s">
        <v>35</v>
      </c>
      <c r="K309" s="572" t="s">
        <v>35</v>
      </c>
      <c r="L309" s="571" t="s">
        <v>35</v>
      </c>
      <c r="M309" s="572" t="s">
        <v>35</v>
      </c>
      <c r="N309" s="575">
        <v>0</v>
      </c>
      <c r="O309" s="576" t="s">
        <v>926</v>
      </c>
      <c r="P309" s="576" t="s">
        <v>926</v>
      </c>
      <c r="Q309" s="486">
        <f t="shared" si="17"/>
        <v>0.23076923076923078</v>
      </c>
      <c r="R309" s="2285"/>
      <c r="S309" s="669">
        <v>0.87296799999999997</v>
      </c>
      <c r="T309" s="670">
        <v>-9329.7438619999994</v>
      </c>
      <c r="U309" s="600"/>
      <c r="V309" s="2333"/>
      <c r="W309" s="177" t="s">
        <v>174</v>
      </c>
      <c r="X309" s="92" t="s">
        <v>1286</v>
      </c>
      <c r="Y309" s="563">
        <f>((112000*$R$302)+($R$303*11.5)+$R$306+$R$304+$T$309)*(1+$T$311)</f>
        <v>12312.549130476922</v>
      </c>
      <c r="Z309" s="563">
        <f>Y309-Y308</f>
        <v>974.2566138000002</v>
      </c>
      <c r="AA309" s="581">
        <f>(11.5-11)*$P$303</f>
        <v>406.96258</v>
      </c>
      <c r="AB309" s="582"/>
      <c r="AC309" s="525"/>
      <c r="AD309" s="524"/>
      <c r="AE309" s="525"/>
      <c r="AF309" s="757"/>
      <c r="AG309" s="525"/>
      <c r="AH309" s="477"/>
      <c r="AI309" s="477"/>
      <c r="AJ309" s="477"/>
      <c r="AK309" s="477"/>
      <c r="AL309" s="477"/>
      <c r="AM309" s="477"/>
      <c r="AN309" s="477"/>
      <c r="AO309" s="477"/>
      <c r="AP309" s="477"/>
      <c r="AQ309" s="477"/>
      <c r="AR309" s="477"/>
      <c r="AS309" s="477"/>
      <c r="AT309" s="477"/>
      <c r="AU309" s="477"/>
      <c r="AV309" s="477"/>
      <c r="AW309" s="477"/>
      <c r="AX309" s="477"/>
      <c r="AY309" s="477"/>
      <c r="AZ309" s="477"/>
      <c r="BA309" s="477"/>
      <c r="BB309" s="477"/>
      <c r="BC309" s="477"/>
      <c r="BD309" s="477"/>
      <c r="BE309" s="477"/>
      <c r="BF309" s="477"/>
      <c r="BG309" s="477"/>
    </row>
    <row r="310" spans="1:113">
      <c r="A310" s="2337"/>
      <c r="B310" s="2273"/>
      <c r="C310" s="2274"/>
      <c r="D310" s="809" t="s">
        <v>1287</v>
      </c>
      <c r="E310" s="809">
        <v>6</v>
      </c>
      <c r="F310" s="585" t="s">
        <v>35</v>
      </c>
      <c r="G310" s="585" t="s">
        <v>35</v>
      </c>
      <c r="H310" s="549">
        <v>12161.67</v>
      </c>
      <c r="I310" s="550">
        <v>6867.37</v>
      </c>
      <c r="J310" s="571" t="s">
        <v>35</v>
      </c>
      <c r="K310" s="572" t="s">
        <v>35</v>
      </c>
      <c r="L310" s="571" t="s">
        <v>35</v>
      </c>
      <c r="M310" s="572" t="s">
        <v>35</v>
      </c>
      <c r="N310" s="575">
        <v>-1840.550279</v>
      </c>
      <c r="O310" s="576">
        <v>-1.37</v>
      </c>
      <c r="P310" s="576">
        <v>1345.26656</v>
      </c>
      <c r="Q310" s="486">
        <f t="shared" si="17"/>
        <v>0.15384615384615385</v>
      </c>
      <c r="R310" s="2285"/>
      <c r="S310" s="498" t="s">
        <v>883</v>
      </c>
      <c r="T310" s="499" t="s">
        <v>884</v>
      </c>
      <c r="U310" s="470"/>
      <c r="V310" s="2334"/>
      <c r="W310" s="177" t="s">
        <v>174</v>
      </c>
      <c r="X310" s="92" t="s">
        <v>1288</v>
      </c>
      <c r="Y310" s="563">
        <f>((112000*$R$302)+($R$303*12)+$R$306+$R$304+$T$309)*(1+$T$311)</f>
        <v>13286.805744276922</v>
      </c>
      <c r="Z310" s="563">
        <f>Y310-Y308</f>
        <v>1948.5132276000004</v>
      </c>
      <c r="AA310" s="581">
        <f>(12-11)*$P$303</f>
        <v>813.92516000000001</v>
      </c>
      <c r="AB310" s="582"/>
      <c r="AC310" s="525"/>
      <c r="AD310" s="524"/>
      <c r="AE310" s="525"/>
      <c r="AF310" s="860"/>
      <c r="AG310" s="525"/>
      <c r="AH310" s="477"/>
      <c r="AI310" s="477"/>
      <c r="AJ310" s="477"/>
      <c r="AK310" s="477"/>
      <c r="AL310" s="477"/>
      <c r="AM310" s="477"/>
      <c r="AN310" s="477"/>
      <c r="AO310" s="477"/>
      <c r="AP310" s="477"/>
      <c r="AQ310" s="477"/>
      <c r="AR310" s="477"/>
      <c r="AS310" s="477"/>
      <c r="AT310" s="477"/>
      <c r="AU310" s="477"/>
      <c r="AV310" s="477"/>
      <c r="AW310" s="477"/>
      <c r="AX310" s="477"/>
      <c r="AY310" s="477"/>
      <c r="AZ310" s="477"/>
      <c r="BA310" s="477"/>
      <c r="BB310" s="477"/>
      <c r="BC310" s="477"/>
      <c r="BD310" s="477"/>
      <c r="BE310" s="477"/>
      <c r="BF310" s="477"/>
      <c r="BG310" s="477"/>
    </row>
    <row r="311" spans="1:113" ht="29.4" thickBot="1">
      <c r="A311" s="2337"/>
      <c r="B311" s="1082" t="s">
        <v>1021</v>
      </c>
      <c r="C311" s="515"/>
      <c r="D311" s="525"/>
      <c r="E311" s="525"/>
      <c r="F311" s="525"/>
      <c r="G311" s="525"/>
      <c r="H311" s="525"/>
      <c r="I311" s="525"/>
      <c r="J311" s="988"/>
      <c r="K311" s="676"/>
      <c r="L311" s="988"/>
      <c r="M311" s="676"/>
      <c r="N311" s="1083"/>
      <c r="O311" s="1084"/>
      <c r="P311" s="1084"/>
      <c r="Q311" s="1085"/>
      <c r="R311" s="1086"/>
      <c r="S311" s="1087">
        <v>1573.57</v>
      </c>
      <c r="T311" s="1088">
        <v>0.2</v>
      </c>
      <c r="U311" s="825"/>
      <c r="V311" s="524"/>
      <c r="W311" s="525"/>
      <c r="X311" s="525"/>
      <c r="Y311" s="525"/>
      <c r="Z311" s="829"/>
      <c r="AA311" s="829"/>
      <c r="AC311" s="525"/>
      <c r="AD311" s="675"/>
      <c r="AE311" s="676"/>
      <c r="AF311" s="1089"/>
      <c r="AG311" s="676"/>
      <c r="AH311" s="1090"/>
      <c r="AI311" s="477"/>
      <c r="AJ311" s="477"/>
      <c r="AK311" s="477"/>
      <c r="AL311" s="477"/>
      <c r="AM311" s="477"/>
      <c r="AN311" s="477"/>
      <c r="AO311" s="477"/>
      <c r="AP311" s="477"/>
      <c r="AQ311" s="477"/>
      <c r="AR311" s="477"/>
      <c r="AS311" s="477"/>
      <c r="AT311" s="477"/>
      <c r="AU311" s="477"/>
      <c r="AV311" s="477"/>
      <c r="AW311" s="477"/>
      <c r="AX311" s="477"/>
      <c r="AY311" s="477"/>
      <c r="AZ311" s="477"/>
      <c r="BA311" s="477"/>
      <c r="BB311" s="477"/>
      <c r="BC311" s="477"/>
      <c r="BD311" s="477"/>
      <c r="BE311" s="477"/>
      <c r="BF311" s="477"/>
      <c r="BG311" s="477"/>
    </row>
    <row r="312" spans="1:113" s="964" customFormat="1" ht="25.5" customHeight="1" thickBot="1">
      <c r="A312" s="442" t="s">
        <v>1289</v>
      </c>
      <c r="B312" s="443"/>
      <c r="C312" s="444"/>
      <c r="D312" s="445"/>
      <c r="E312" s="445"/>
      <c r="F312" s="445"/>
      <c r="G312" s="445"/>
      <c r="H312" s="445"/>
      <c r="I312" s="445"/>
      <c r="J312" s="446"/>
      <c r="K312" s="445"/>
      <c r="L312" s="446"/>
      <c r="M312" s="447"/>
      <c r="N312" s="448"/>
      <c r="O312" s="449"/>
      <c r="P312" s="449"/>
      <c r="Q312" s="450"/>
      <c r="R312" s="450"/>
      <c r="S312" s="451"/>
      <c r="T312" s="451"/>
      <c r="U312" s="962"/>
      <c r="V312" s="453"/>
      <c r="W312" s="447"/>
      <c r="X312" s="447"/>
      <c r="Y312" s="447"/>
      <c r="Z312" s="447"/>
      <c r="AA312" s="447"/>
      <c r="AB312" s="1093"/>
      <c r="AC312" s="447"/>
      <c r="AD312" s="447"/>
      <c r="AE312" s="447"/>
      <c r="AF312" s="455"/>
      <c r="AG312" s="447"/>
      <c r="AH312" s="456"/>
      <c r="AI312" s="456"/>
      <c r="AJ312" s="456"/>
      <c r="AK312" s="456"/>
      <c r="AL312" s="456"/>
      <c r="AM312" s="456"/>
      <c r="AN312" s="456"/>
      <c r="AO312" s="456"/>
      <c r="AP312" s="456"/>
      <c r="AQ312" s="456"/>
      <c r="AR312" s="456"/>
      <c r="AS312" s="456"/>
      <c r="AT312" s="456" t="s">
        <v>1023</v>
      </c>
      <c r="AU312" s="456" t="s">
        <v>1157</v>
      </c>
      <c r="AV312" s="456"/>
      <c r="AW312" s="456"/>
      <c r="AX312" s="456"/>
      <c r="AY312" s="456"/>
      <c r="AZ312" s="456"/>
      <c r="BA312" s="456"/>
      <c r="BB312" s="456"/>
      <c r="BC312" s="456"/>
      <c r="BD312" s="456"/>
      <c r="BE312" s="456"/>
      <c r="BF312" s="456"/>
      <c r="BG312" s="456"/>
      <c r="BH312" s="963"/>
      <c r="DI312" s="965"/>
    </row>
    <row r="313" spans="1:113" s="433" customFormat="1" ht="15" customHeight="1">
      <c r="A313" s="2310" t="s">
        <v>1290</v>
      </c>
      <c r="B313" s="1094" t="s">
        <v>1291</v>
      </c>
      <c r="C313" s="1095" t="s">
        <v>853</v>
      </c>
      <c r="D313" s="1096" t="s">
        <v>1292</v>
      </c>
      <c r="E313" s="1096">
        <v>54</v>
      </c>
      <c r="F313" s="1096">
        <v>0.63111099999999998</v>
      </c>
      <c r="G313" s="1096">
        <v>3.9029000000000001E-2</v>
      </c>
      <c r="H313" s="1097">
        <v>746.58</v>
      </c>
      <c r="I313" s="1097">
        <v>366.44</v>
      </c>
      <c r="J313" s="1098" t="s">
        <v>853</v>
      </c>
      <c r="K313" s="554" t="s">
        <v>1293</v>
      </c>
      <c r="L313" s="793" t="s">
        <v>35</v>
      </c>
      <c r="M313" s="689" t="s">
        <v>35</v>
      </c>
      <c r="N313" s="1099">
        <v>2332.5061959999998</v>
      </c>
      <c r="O313" s="1100">
        <v>2.3199999999999998</v>
      </c>
      <c r="P313" s="1100">
        <v>1005.121496</v>
      </c>
      <c r="Q313" s="466" t="s">
        <v>35</v>
      </c>
      <c r="R313" s="467">
        <f>N313</f>
        <v>2332.5061959999998</v>
      </c>
      <c r="S313" s="468" t="s">
        <v>841</v>
      </c>
      <c r="T313" s="469" t="s">
        <v>842</v>
      </c>
      <c r="U313" s="470"/>
      <c r="V313" s="2332" t="s">
        <v>843</v>
      </c>
      <c r="W313" s="694" t="s">
        <v>175</v>
      </c>
      <c r="X313" s="677" t="s">
        <v>1294</v>
      </c>
      <c r="Y313" s="1101">
        <f>((30*$R$314)+(0.61*$R$313)+$R$317+$T$320)*(1+$T$322)</f>
        <v>514.41843764399982</v>
      </c>
      <c r="Z313" s="1101" t="s">
        <v>918</v>
      </c>
      <c r="AA313" s="1102" t="s">
        <v>918</v>
      </c>
      <c r="AB313" s="722"/>
      <c r="AC313" s="740"/>
      <c r="AD313" s="2319" t="s">
        <v>846</v>
      </c>
      <c r="AE313" s="1985"/>
      <c r="AF313" s="1103" t="s">
        <v>175</v>
      </c>
      <c r="AG313" s="677" t="s">
        <v>1295</v>
      </c>
      <c r="AH313" s="966">
        <f>Y317</f>
        <v>565.0487816359996</v>
      </c>
      <c r="AI313" s="966">
        <v>493.95</v>
      </c>
      <c r="AJ313" s="966">
        <v>438</v>
      </c>
      <c r="AK313" s="966">
        <v>368.68</v>
      </c>
      <c r="AL313" s="966">
        <v>434</v>
      </c>
      <c r="AM313" s="966"/>
      <c r="AN313" s="966"/>
      <c r="AO313" s="966"/>
      <c r="AP313" s="966"/>
      <c r="AQ313" s="966"/>
      <c r="AR313" s="966"/>
      <c r="AS313" s="2320">
        <v>1002</v>
      </c>
      <c r="AT313" s="663"/>
      <c r="AU313" s="664"/>
      <c r="AV313" s="663"/>
      <c r="AW313" s="663"/>
      <c r="AX313" s="663"/>
      <c r="AY313" s="663"/>
      <c r="AZ313" s="663"/>
      <c r="BA313" s="663"/>
      <c r="BB313" s="663"/>
      <c r="BC313" s="663"/>
      <c r="BD313" s="663"/>
      <c r="BE313" s="663"/>
      <c r="BF313" s="663"/>
      <c r="BG313" s="663"/>
      <c r="BH313" s="432"/>
      <c r="BI313" s="95"/>
      <c r="BJ313" s="95"/>
      <c r="BK313" s="95"/>
      <c r="BL313" s="95"/>
      <c r="BM313" s="95"/>
      <c r="BN313" s="95"/>
      <c r="BO313" s="95"/>
      <c r="BP313" s="95"/>
      <c r="BQ313" s="95"/>
      <c r="BR313" s="95"/>
      <c r="BS313" s="95"/>
      <c r="BT313" s="95"/>
      <c r="BU313" s="95"/>
      <c r="BV313" s="95"/>
      <c r="BW313" s="95"/>
      <c r="BX313" s="95"/>
      <c r="BY313" s="95"/>
      <c r="BZ313" s="95"/>
      <c r="CA313" s="95"/>
      <c r="CB313" s="95"/>
      <c r="CC313" s="95"/>
      <c r="CD313" s="95"/>
      <c r="CE313" s="95"/>
      <c r="DI313" s="435"/>
    </row>
    <row r="314" spans="1:113" s="433" customFormat="1">
      <c r="A314" s="2311"/>
      <c r="B314" s="1104" t="s">
        <v>1296</v>
      </c>
      <c r="C314" s="1080" t="s">
        <v>853</v>
      </c>
      <c r="D314" s="1096" t="s">
        <v>1297</v>
      </c>
      <c r="E314" s="1096">
        <v>54</v>
      </c>
      <c r="F314" s="1096">
        <v>43.72222</v>
      </c>
      <c r="G314" s="1096">
        <v>7.3263980000000002</v>
      </c>
      <c r="H314" s="1105">
        <v>746.58</v>
      </c>
      <c r="I314" s="1105">
        <v>366.44</v>
      </c>
      <c r="J314" s="724" t="s">
        <v>853</v>
      </c>
      <c r="K314" s="574" t="s">
        <v>1298</v>
      </c>
      <c r="L314" s="834" t="s">
        <v>35</v>
      </c>
      <c r="M314" s="697" t="s">
        <v>35</v>
      </c>
      <c r="N314" s="1099">
        <v>9.0676509999999997</v>
      </c>
      <c r="O314" s="1100">
        <v>2.08</v>
      </c>
      <c r="P314" s="1100">
        <v>4.3614540000000002</v>
      </c>
      <c r="Q314" s="485" t="s">
        <v>35</v>
      </c>
      <c r="R314" s="486">
        <f>N314</f>
        <v>9.0676509999999997</v>
      </c>
      <c r="S314" s="487" t="s">
        <v>1299</v>
      </c>
      <c r="T314" s="488" t="s">
        <v>1014</v>
      </c>
      <c r="U314" s="452"/>
      <c r="V314" s="2333"/>
      <c r="W314" s="40" t="s">
        <v>174</v>
      </c>
      <c r="X314" s="92" t="s">
        <v>1300</v>
      </c>
      <c r="Y314" s="660">
        <f>((30*$R$314)+(0.62*$R$313)+$R$317+$R$315+$T$320)*(1+$T$322)</f>
        <v>712.55990087948101</v>
      </c>
      <c r="Z314" s="660">
        <f>Y314-$Y$313</f>
        <v>198.14146323548118</v>
      </c>
      <c r="AA314" s="661">
        <f>(0.62-0.61)*$P$313</f>
        <v>10.051214960000008</v>
      </c>
      <c r="AB314" s="722"/>
      <c r="AC314" s="740"/>
      <c r="AD314" s="741" t="s">
        <v>795</v>
      </c>
      <c r="AE314" s="968" t="e">
        <f>AVERAGE($AU$313:$AU$318)</f>
        <v>#DIV/0!</v>
      </c>
      <c r="AF314" s="1106" t="s">
        <v>174</v>
      </c>
      <c r="AG314" s="92" t="s">
        <v>1301</v>
      </c>
      <c r="AH314" s="726">
        <f>Y318</f>
        <v>816.837887379481</v>
      </c>
      <c r="AI314" s="726">
        <v>542.95000000000005</v>
      </c>
      <c r="AJ314" s="726">
        <v>497</v>
      </c>
      <c r="AK314" s="726">
        <v>412.29</v>
      </c>
      <c r="AL314" s="726">
        <v>497</v>
      </c>
      <c r="AM314" s="726"/>
      <c r="AN314" s="726"/>
      <c r="AO314" s="726"/>
      <c r="AP314" s="726"/>
      <c r="AQ314" s="726"/>
      <c r="AR314" s="726"/>
      <c r="AS314" s="2321"/>
      <c r="AT314" s="663"/>
      <c r="AU314" s="664"/>
      <c r="AV314" s="663"/>
      <c r="AW314" s="663"/>
      <c r="AX314" s="663"/>
      <c r="AY314" s="663"/>
      <c r="AZ314" s="663"/>
      <c r="BA314" s="663"/>
      <c r="BB314" s="663"/>
      <c r="BC314" s="663"/>
      <c r="BD314" s="663"/>
      <c r="BE314" s="663"/>
      <c r="BF314" s="663"/>
      <c r="BG314" s="663"/>
      <c r="BH314" s="432"/>
      <c r="BI314" s="95"/>
      <c r="BJ314" s="95"/>
      <c r="BK314" s="95"/>
      <c r="BL314" s="95"/>
      <c r="BM314" s="95"/>
      <c r="BN314" s="95"/>
      <c r="BO314" s="95"/>
      <c r="BP314" s="95"/>
      <c r="BQ314" s="95"/>
      <c r="BR314" s="95"/>
      <c r="BS314" s="95"/>
      <c r="BT314" s="95"/>
      <c r="BU314" s="95"/>
      <c r="BV314" s="95"/>
      <c r="BW314" s="95"/>
      <c r="BX314" s="95"/>
      <c r="BY314" s="95"/>
      <c r="BZ314" s="95"/>
      <c r="CA314" s="95"/>
      <c r="CB314" s="95"/>
      <c r="CC314" s="95"/>
      <c r="CD314" s="95"/>
      <c r="CE314" s="95"/>
      <c r="DI314" s="435"/>
    </row>
    <row r="315" spans="1:113" s="433" customFormat="1">
      <c r="A315" s="2311"/>
      <c r="B315" s="2273" t="s">
        <v>1302</v>
      </c>
      <c r="C315" s="2274" t="s">
        <v>839</v>
      </c>
      <c r="D315" s="40" t="s">
        <v>840</v>
      </c>
      <c r="E315" s="714">
        <v>17</v>
      </c>
      <c r="F315" s="501" t="s">
        <v>35</v>
      </c>
      <c r="G315" s="501" t="s">
        <v>35</v>
      </c>
      <c r="H315" s="1105">
        <v>1168.55</v>
      </c>
      <c r="I315" s="1105">
        <v>310.64681250000001</v>
      </c>
      <c r="J315" s="834" t="s">
        <v>35</v>
      </c>
      <c r="K315" s="697" t="s">
        <v>35</v>
      </c>
      <c r="L315" s="834" t="s">
        <v>35</v>
      </c>
      <c r="M315" s="697" t="s">
        <v>35</v>
      </c>
      <c r="N315" s="1099">
        <v>473.20474000000002</v>
      </c>
      <c r="O315" s="1100">
        <v>5.17</v>
      </c>
      <c r="P315" s="1100">
        <v>91.470608999999996</v>
      </c>
      <c r="Q315" s="774">
        <f>E315/$E$314</f>
        <v>0.31481481481481483</v>
      </c>
      <c r="R315" s="2285">
        <f>SUMPRODUCT(N315:N316,Q315:Q316)</f>
        <v>148.9718625925926</v>
      </c>
      <c r="S315" s="498" t="s">
        <v>858</v>
      </c>
      <c r="T315" s="499" t="s">
        <v>859</v>
      </c>
      <c r="U315" s="470"/>
      <c r="V315" s="2333"/>
      <c r="W315" s="40" t="s">
        <v>174</v>
      </c>
      <c r="X315" s="92" t="s">
        <v>1303</v>
      </c>
      <c r="Y315" s="660">
        <f>((30*$R$314)+(0.65*$R$313)+$R$317+$R$315+$T$320)*(1+$T$322)</f>
        <v>793.03136464148133</v>
      </c>
      <c r="Z315" s="660">
        <f>Y315-$Y$313</f>
        <v>278.61292699748151</v>
      </c>
      <c r="AA315" s="661">
        <f>(0.65-0.61)*$P$313</f>
        <v>40.204859840000033</v>
      </c>
      <c r="AB315" s="722"/>
      <c r="AC315" s="740"/>
      <c r="AD315" s="741" t="s">
        <v>874</v>
      </c>
      <c r="AE315" s="968" t="e">
        <f>STDEV($AU$313:$AU$318)</f>
        <v>#DIV/0!</v>
      </c>
      <c r="AF315" s="1106" t="s">
        <v>174</v>
      </c>
      <c r="AG315" s="92" t="s">
        <v>1304</v>
      </c>
      <c r="AH315" s="726">
        <f>Y319</f>
        <v>950.95699364948121</v>
      </c>
      <c r="AI315" s="726">
        <v>795.95</v>
      </c>
      <c r="AJ315" s="726">
        <v>924.43</v>
      </c>
      <c r="AK315" s="726">
        <v>1193.51</v>
      </c>
      <c r="AL315" s="726"/>
      <c r="AM315" s="726"/>
      <c r="AN315" s="726"/>
      <c r="AO315" s="726"/>
      <c r="AP315" s="726">
        <v>649</v>
      </c>
      <c r="AQ315" s="726"/>
      <c r="AR315" s="726"/>
      <c r="AS315" s="2321"/>
      <c r="AT315" s="663"/>
      <c r="AU315" s="664"/>
      <c r="AV315" s="663"/>
      <c r="AW315" s="663"/>
      <c r="AX315" s="663"/>
      <c r="AY315" s="663"/>
      <c r="AZ315" s="663"/>
      <c r="BA315" s="663"/>
      <c r="BB315" s="663"/>
      <c r="BC315" s="663"/>
      <c r="BD315" s="663"/>
      <c r="BE315" s="663"/>
      <c r="BF315" s="663"/>
      <c r="BG315" s="663"/>
      <c r="BH315" s="432"/>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DI315" s="435"/>
    </row>
    <row r="316" spans="1:113" s="433" customFormat="1">
      <c r="A316" s="2311"/>
      <c r="B316" s="2273"/>
      <c r="C316" s="2274"/>
      <c r="D316" s="40" t="s">
        <v>64</v>
      </c>
      <c r="E316" s="714">
        <v>37</v>
      </c>
      <c r="F316" s="501" t="s">
        <v>35</v>
      </c>
      <c r="G316" s="501" t="s">
        <v>35</v>
      </c>
      <c r="H316" s="1105">
        <v>552.70837840000002</v>
      </c>
      <c r="I316" s="1105">
        <v>179.13137330000001</v>
      </c>
      <c r="J316" s="834" t="s">
        <v>35</v>
      </c>
      <c r="K316" s="697" t="s">
        <v>35</v>
      </c>
      <c r="L316" s="834" t="s">
        <v>35</v>
      </c>
      <c r="M316" s="697" t="s">
        <v>35</v>
      </c>
      <c r="N316" s="482">
        <v>0</v>
      </c>
      <c r="O316" s="484" t="s">
        <v>847</v>
      </c>
      <c r="P316" s="484" t="s">
        <v>847</v>
      </c>
      <c r="Q316" s="774">
        <f>E316/$E$314</f>
        <v>0.68518518518518523</v>
      </c>
      <c r="R316" s="2285"/>
      <c r="S316" s="748" t="s">
        <v>1038</v>
      </c>
      <c r="T316" s="749" t="s">
        <v>1019</v>
      </c>
      <c r="U316" s="591"/>
      <c r="V316" s="2333"/>
      <c r="W316" s="40" t="s">
        <v>174</v>
      </c>
      <c r="X316" s="92" t="s">
        <v>1305</v>
      </c>
      <c r="Y316" s="660">
        <f>((30*$R$314)+(0.7*$R$313)+$R$317+$R$315+$T$320)*(1+$T$322)</f>
        <v>927.15047091148097</v>
      </c>
      <c r="Z316" s="660">
        <f>Y316-$Y$313</f>
        <v>412.73203326748114</v>
      </c>
      <c r="AA316" s="661">
        <f>(0.7-0.61)*$P$313</f>
        <v>90.460934639999962</v>
      </c>
      <c r="AB316" s="722"/>
      <c r="AC316" s="740"/>
      <c r="AD316" s="741" t="s">
        <v>977</v>
      </c>
      <c r="AE316" s="968">
        <f>MIN($AU$313:$AU$318)</f>
        <v>0</v>
      </c>
      <c r="AF316" s="1106" t="s">
        <v>174</v>
      </c>
      <c r="AG316" s="92" t="s">
        <v>1306</v>
      </c>
      <c r="AH316" s="726">
        <f>Y320</f>
        <v>1031.4284574114813</v>
      </c>
      <c r="AI316" s="726">
        <v>809.95</v>
      </c>
      <c r="AJ316" s="726"/>
      <c r="AK316" s="726"/>
      <c r="AL316" s="726"/>
      <c r="AM316" s="726">
        <v>872.99</v>
      </c>
      <c r="AN316" s="726"/>
      <c r="AO316" s="726">
        <v>1085</v>
      </c>
      <c r="AP316" s="726"/>
      <c r="AQ316" s="726"/>
      <c r="AR316" s="726"/>
      <c r="AS316" s="2322"/>
      <c r="AT316" s="663"/>
      <c r="AU316" s="664"/>
      <c r="AV316" s="663"/>
      <c r="AW316" s="663"/>
      <c r="AX316" s="663"/>
      <c r="AY316" s="663"/>
      <c r="AZ316" s="663"/>
      <c r="BA316" s="663"/>
      <c r="BB316" s="663"/>
      <c r="BC316" s="663"/>
      <c r="BD316" s="663"/>
      <c r="BE316" s="663"/>
      <c r="BF316" s="663"/>
      <c r="BG316" s="663"/>
      <c r="BH316" s="432"/>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DI316" s="435"/>
    </row>
    <row r="317" spans="1:113" s="433" customFormat="1">
      <c r="A317" s="2311"/>
      <c r="B317" s="2323" t="s">
        <v>1041</v>
      </c>
      <c r="C317" s="2326" t="s">
        <v>862</v>
      </c>
      <c r="D317" s="433" t="s">
        <v>1307</v>
      </c>
      <c r="E317" s="668">
        <v>2</v>
      </c>
      <c r="F317" s="501" t="s">
        <v>35</v>
      </c>
      <c r="G317" s="501" t="s">
        <v>35</v>
      </c>
      <c r="H317" s="1105">
        <v>442.75</v>
      </c>
      <c r="I317" s="1105">
        <v>16.260000000000002</v>
      </c>
      <c r="J317" s="834" t="s">
        <v>35</v>
      </c>
      <c r="K317" s="697" t="s">
        <v>35</v>
      </c>
      <c r="L317" s="834" t="s">
        <v>35</v>
      </c>
      <c r="M317" s="697" t="s">
        <v>35</v>
      </c>
      <c r="N317" s="1099">
        <v>-163.91021599999999</v>
      </c>
      <c r="O317" s="1100">
        <v>-0.95</v>
      </c>
      <c r="P317" s="1100">
        <v>173.27078700000001</v>
      </c>
      <c r="Q317" s="774">
        <v>0</v>
      </c>
      <c r="R317" s="2289">
        <f>SUMPRODUCT(N317:N320,Q317:Q320)</f>
        <v>0</v>
      </c>
      <c r="S317" s="498" t="s">
        <v>868</v>
      </c>
      <c r="T317" s="499" t="s">
        <v>869</v>
      </c>
      <c r="U317" s="470"/>
      <c r="V317" s="2333"/>
      <c r="W317" s="40" t="s">
        <v>175</v>
      </c>
      <c r="X317" s="92" t="s">
        <v>1295</v>
      </c>
      <c r="Y317" s="660">
        <f>((40*$R$314)+(0.59*$R$313)+$R$317+$T$320)*(1+$T$322)</f>
        <v>565.0487816359996</v>
      </c>
      <c r="Z317" s="660" t="s">
        <v>918</v>
      </c>
      <c r="AA317" s="661" t="s">
        <v>918</v>
      </c>
      <c r="AB317" s="722"/>
      <c r="AC317" s="740"/>
      <c r="AD317" s="754" t="s">
        <v>978</v>
      </c>
      <c r="AE317" s="969">
        <f>MAX($AU$313:$AU$318)</f>
        <v>0</v>
      </c>
      <c r="AF317" s="1106" t="s">
        <v>175</v>
      </c>
      <c r="AG317" s="92" t="s">
        <v>1308</v>
      </c>
      <c r="AH317" s="726">
        <f>Y325</f>
        <v>693.13329087399961</v>
      </c>
      <c r="AI317" s="726">
        <v>939.95</v>
      </c>
      <c r="AJ317" s="726"/>
      <c r="AK317" s="726">
        <v>810.21</v>
      </c>
      <c r="AL317" s="726">
        <v>728</v>
      </c>
      <c r="AM317" s="726"/>
      <c r="AN317" s="726">
        <v>754.45</v>
      </c>
      <c r="AO317" s="726"/>
      <c r="AP317" s="726"/>
      <c r="AQ317" s="726"/>
      <c r="AR317" s="726"/>
      <c r="AS317" s="726">
        <v>1428</v>
      </c>
      <c r="AT317" s="663"/>
      <c r="AU317" s="664"/>
      <c r="AV317" s="663"/>
      <c r="AW317" s="663"/>
      <c r="AX317" s="663"/>
      <c r="AY317" s="663"/>
      <c r="AZ317" s="663"/>
      <c r="BA317" s="663"/>
      <c r="BB317" s="663"/>
      <c r="BC317" s="663"/>
      <c r="BD317" s="663"/>
      <c r="BE317" s="663"/>
      <c r="BF317" s="663"/>
      <c r="BG317" s="663"/>
      <c r="BH317" s="432"/>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DI317" s="435"/>
    </row>
    <row r="318" spans="1:113" s="433" customFormat="1">
      <c r="A318" s="2311"/>
      <c r="B318" s="2324"/>
      <c r="C318" s="2327"/>
      <c r="D318" s="748" t="s">
        <v>1309</v>
      </c>
      <c r="E318" s="1096">
        <v>8</v>
      </c>
      <c r="F318" s="501" t="s">
        <v>35</v>
      </c>
      <c r="G318" s="501" t="s">
        <v>35</v>
      </c>
      <c r="H318" s="1105">
        <v>529.25</v>
      </c>
      <c r="I318" s="1105">
        <v>210.72</v>
      </c>
      <c r="J318" s="834" t="s">
        <v>35</v>
      </c>
      <c r="K318" s="697" t="s">
        <v>35</v>
      </c>
      <c r="L318" s="834" t="s">
        <v>35</v>
      </c>
      <c r="M318" s="697" t="s">
        <v>35</v>
      </c>
      <c r="N318" s="482">
        <v>0</v>
      </c>
      <c r="O318" s="484" t="s">
        <v>847</v>
      </c>
      <c r="P318" s="484" t="s">
        <v>847</v>
      </c>
      <c r="Q318" s="774">
        <v>0</v>
      </c>
      <c r="R318" s="2329"/>
      <c r="S318" s="487">
        <v>54</v>
      </c>
      <c r="T318" s="749" t="s">
        <v>35</v>
      </c>
      <c r="U318" s="591"/>
      <c r="V318" s="2333"/>
      <c r="W318" s="40" t="s">
        <v>174</v>
      </c>
      <c r="X318" s="92" t="s">
        <v>1301</v>
      </c>
      <c r="Y318" s="660">
        <f>((40*$R$314)+(0.62*$R$313)+$R$317+$R$315+$T$320)*(1+$T$322)</f>
        <v>816.837887379481</v>
      </c>
      <c r="Z318" s="660">
        <f>Y318-$Y$317</f>
        <v>251.7891057434814</v>
      </c>
      <c r="AA318" s="661">
        <f>(0.62-0.59)*$P$313</f>
        <v>30.153644880000027</v>
      </c>
      <c r="AB318" s="722"/>
      <c r="AC318" s="525"/>
      <c r="AD318" s="520"/>
      <c r="AE318" s="521"/>
      <c r="AF318" s="756" t="s">
        <v>175</v>
      </c>
      <c r="AG318" s="745" t="s">
        <v>1310</v>
      </c>
      <c r="AH318" s="726">
        <f>Y329</f>
        <v>769.07880686199974</v>
      </c>
      <c r="AI318" s="726"/>
      <c r="AJ318" s="726"/>
      <c r="AK318" s="726">
        <v>742.55</v>
      </c>
      <c r="AL318" s="726"/>
      <c r="AM318" s="726"/>
      <c r="AN318" s="726"/>
      <c r="AO318" s="726"/>
      <c r="AP318" s="726">
        <v>816.41</v>
      </c>
      <c r="AQ318" s="726">
        <v>722.89</v>
      </c>
      <c r="AR318" s="726">
        <v>789.99</v>
      </c>
      <c r="AS318" s="726">
        <v>1512</v>
      </c>
      <c r="AT318" s="663"/>
      <c r="AU318" s="664"/>
      <c r="AV318" s="663"/>
      <c r="AW318" s="663"/>
      <c r="AX318" s="663"/>
      <c r="AY318" s="663"/>
      <c r="AZ318" s="663"/>
      <c r="BA318" s="663"/>
      <c r="BB318" s="663"/>
      <c r="BC318" s="663"/>
      <c r="BD318" s="663"/>
      <c r="BE318" s="663"/>
      <c r="BF318" s="663"/>
      <c r="BG318" s="663"/>
      <c r="BH318" s="432"/>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DI318" s="435"/>
    </row>
    <row r="319" spans="1:113" s="433" customFormat="1">
      <c r="A319" s="2311"/>
      <c r="B319" s="2324"/>
      <c r="C319" s="2327"/>
      <c r="D319" s="748" t="s">
        <v>1311</v>
      </c>
      <c r="E319" s="1096">
        <v>14</v>
      </c>
      <c r="F319" s="501" t="s">
        <v>35</v>
      </c>
      <c r="G319" s="501" t="s">
        <v>35</v>
      </c>
      <c r="H319" s="1105">
        <v>702.04</v>
      </c>
      <c r="I319" s="1105">
        <v>275.45999999999998</v>
      </c>
      <c r="J319" s="834" t="s">
        <v>35</v>
      </c>
      <c r="K319" s="697" t="s">
        <v>35</v>
      </c>
      <c r="L319" s="834" t="s">
        <v>35</v>
      </c>
      <c r="M319" s="697" t="s">
        <v>35</v>
      </c>
      <c r="N319" s="1099">
        <v>4.6269450000000001</v>
      </c>
      <c r="O319" s="1100">
        <v>0.05</v>
      </c>
      <c r="P319" s="1100">
        <v>100.94708799999999</v>
      </c>
      <c r="Q319" s="774">
        <v>0</v>
      </c>
      <c r="R319" s="2329"/>
      <c r="S319" s="498" t="s">
        <v>876</v>
      </c>
      <c r="T319" s="499" t="s">
        <v>877</v>
      </c>
      <c r="U319" s="470"/>
      <c r="V319" s="2333"/>
      <c r="W319" s="40" t="s">
        <v>174</v>
      </c>
      <c r="X319" s="92" t="s">
        <v>1304</v>
      </c>
      <c r="Y319" s="660">
        <f>((40*$R$314)+(0.67*$R$313)+$R$317+$R$315+$T$320)*(1+$T$322)</f>
        <v>950.95699364948121</v>
      </c>
      <c r="Z319" s="660">
        <f>Y319-$Y$317</f>
        <v>385.9082120134816</v>
      </c>
      <c r="AA319" s="661">
        <f>(0.67-0.59)*$P$313</f>
        <v>80.409719680000066</v>
      </c>
      <c r="AB319" s="722"/>
      <c r="AC319" s="525"/>
      <c r="AD319" s="524"/>
      <c r="AE319" s="525"/>
      <c r="AF319" s="750"/>
      <c r="AG319" s="521"/>
      <c r="AH319" s="761"/>
      <c r="AI319" s="761"/>
      <c r="AJ319" s="761"/>
      <c r="AK319" s="761"/>
      <c r="AL319" s="761"/>
      <c r="AM319" s="761"/>
      <c r="AN319" s="761"/>
      <c r="AO319" s="761"/>
      <c r="AP319" s="761"/>
      <c r="AQ319" s="761"/>
      <c r="AR319" s="761"/>
      <c r="AS319" s="477"/>
      <c r="AT319" s="477"/>
      <c r="AU319" s="477"/>
      <c r="AV319" s="477"/>
      <c r="AW319" s="477"/>
      <c r="AX319" s="477"/>
      <c r="AY319" s="477"/>
      <c r="AZ319" s="477"/>
      <c r="BA319" s="477"/>
      <c r="BB319" s="477"/>
      <c r="BC319" s="477"/>
      <c r="BD319" s="477"/>
      <c r="BE319" s="477"/>
      <c r="BF319" s="477"/>
      <c r="BG319" s="477"/>
      <c r="BH319" s="432"/>
      <c r="BI319" s="95"/>
      <c r="BJ319" s="95"/>
      <c r="BK319" s="95"/>
      <c r="BL319" s="95"/>
      <c r="BM319" s="95"/>
      <c r="BN319" s="95"/>
      <c r="BO319" s="95"/>
      <c r="BP319" s="95"/>
      <c r="BQ319" s="95"/>
      <c r="BR319" s="95"/>
      <c r="BS319" s="95"/>
      <c r="BT319" s="95"/>
      <c r="BU319" s="95"/>
      <c r="BV319" s="95"/>
      <c r="BW319" s="95"/>
      <c r="BX319" s="95"/>
      <c r="BY319" s="95"/>
      <c r="BZ319" s="95"/>
      <c r="CA319" s="95"/>
      <c r="CB319" s="95"/>
      <c r="CC319" s="95"/>
      <c r="CD319" s="95"/>
      <c r="CE319" s="95"/>
      <c r="DI319" s="435"/>
    </row>
    <row r="320" spans="1:113" s="433" customFormat="1">
      <c r="A320" s="2311"/>
      <c r="B320" s="2325"/>
      <c r="C320" s="2328"/>
      <c r="D320" s="748" t="s">
        <v>1312</v>
      </c>
      <c r="E320" s="1096">
        <v>30</v>
      </c>
      <c r="F320" s="501" t="s">
        <v>35</v>
      </c>
      <c r="G320" s="501" t="s">
        <v>35</v>
      </c>
      <c r="H320" s="906">
        <v>845.58</v>
      </c>
      <c r="I320" s="906">
        <v>412.52</v>
      </c>
      <c r="J320" s="834" t="s">
        <v>35</v>
      </c>
      <c r="K320" s="697" t="s">
        <v>35</v>
      </c>
      <c r="L320" s="834" t="s">
        <v>35</v>
      </c>
      <c r="M320" s="697" t="s">
        <v>35</v>
      </c>
      <c r="N320" s="1099">
        <v>-33.311503999999999</v>
      </c>
      <c r="O320" s="1100">
        <v>-0.35</v>
      </c>
      <c r="P320" s="1100">
        <v>94.795472000000004</v>
      </c>
      <c r="Q320" s="774">
        <v>0</v>
      </c>
      <c r="R320" s="2301"/>
      <c r="S320" s="1107">
        <v>0.690554</v>
      </c>
      <c r="T320" s="1091">
        <v>-1247.5379290000001</v>
      </c>
      <c r="U320" s="1092"/>
      <c r="V320" s="2333"/>
      <c r="W320" s="40" t="s">
        <v>174</v>
      </c>
      <c r="X320" s="92" t="s">
        <v>1306</v>
      </c>
      <c r="Y320" s="660">
        <f>((40*$R$314)+(0.7*$R$313)+$R$317+$R$315+$T$320)*(1+$T$322)</f>
        <v>1031.4284574114813</v>
      </c>
      <c r="Z320" s="660">
        <f>Y320-$Y$317</f>
        <v>466.3796757754817</v>
      </c>
      <c r="AA320" s="661">
        <f>(0.7-0.59)*$P$313</f>
        <v>110.56336455999998</v>
      </c>
      <c r="AB320" s="722"/>
      <c r="AC320" s="525"/>
      <c r="AD320" s="524"/>
      <c r="AE320" s="525"/>
      <c r="AF320" s="757"/>
      <c r="AG320" s="525"/>
      <c r="AH320" s="477"/>
      <c r="AI320" s="477"/>
      <c r="AJ320" s="477"/>
      <c r="AK320" s="477"/>
      <c r="AL320" s="477"/>
      <c r="AM320" s="477"/>
      <c r="AN320" s="477"/>
      <c r="AO320" s="477"/>
      <c r="AP320" s="477"/>
      <c r="AQ320" s="477"/>
      <c r="AR320" s="477"/>
      <c r="AS320" s="477"/>
      <c r="AT320" s="477"/>
      <c r="AU320" s="477"/>
      <c r="AV320" s="477"/>
      <c r="AW320" s="477"/>
      <c r="AX320" s="477"/>
      <c r="AY320" s="477"/>
      <c r="AZ320" s="477"/>
      <c r="BA320" s="477"/>
      <c r="BB320" s="477"/>
      <c r="BC320" s="477"/>
      <c r="BD320" s="477"/>
      <c r="BE320" s="477"/>
      <c r="BF320" s="477"/>
      <c r="BG320" s="477"/>
      <c r="BH320" s="432"/>
      <c r="BI320" s="95"/>
      <c r="BJ320" s="95"/>
      <c r="BK320" s="95"/>
      <c r="BL320" s="95"/>
      <c r="BM320" s="95"/>
      <c r="BN320" s="95"/>
      <c r="BO320" s="95"/>
      <c r="BP320" s="95"/>
      <c r="BQ320" s="95"/>
      <c r="BR320" s="95"/>
      <c r="BS320" s="95"/>
      <c r="BT320" s="95"/>
      <c r="BU320" s="95"/>
      <c r="BV320" s="95"/>
      <c r="BW320" s="95"/>
      <c r="BX320" s="95"/>
      <c r="BY320" s="95"/>
      <c r="BZ320" s="95"/>
      <c r="CA320" s="95"/>
      <c r="CB320" s="95"/>
      <c r="CC320" s="95"/>
      <c r="CD320" s="95"/>
      <c r="CE320" s="95"/>
      <c r="DI320" s="435"/>
    </row>
    <row r="321" spans="1:123" s="433" customFormat="1" ht="15" customHeight="1">
      <c r="A321" s="2311"/>
      <c r="B321" s="2307" t="s">
        <v>1021</v>
      </c>
      <c r="C321" s="515"/>
      <c r="D321" s="525"/>
      <c r="E321" s="525"/>
      <c r="F321" s="525"/>
      <c r="G321" s="525"/>
      <c r="H321" s="525"/>
      <c r="I321" s="525"/>
      <c r="J321" s="757"/>
      <c r="K321" s="525"/>
      <c r="L321" s="757"/>
      <c r="M321" s="525"/>
      <c r="N321" s="758"/>
      <c r="O321" s="759"/>
      <c r="P321" s="759"/>
      <c r="Q321" s="605"/>
      <c r="R321" s="605"/>
      <c r="S321" s="667" t="s">
        <v>883</v>
      </c>
      <c r="T321" s="499" t="s">
        <v>884</v>
      </c>
      <c r="U321" s="470"/>
      <c r="V321" s="2333"/>
      <c r="W321" s="40" t="s">
        <v>175</v>
      </c>
      <c r="X321" s="92" t="s">
        <v>1313</v>
      </c>
      <c r="Y321" s="660">
        <f>((50*$R$314)+(0.57*$R$313)+$R$317+$T$320)*(1+$T$322)</f>
        <v>615.67912562799972</v>
      </c>
      <c r="Z321" s="660" t="s">
        <v>918</v>
      </c>
      <c r="AA321" s="661" t="s">
        <v>918</v>
      </c>
      <c r="AB321" s="722"/>
      <c r="AC321" s="525"/>
      <c r="AD321" s="524"/>
      <c r="AE321" s="525"/>
      <c r="AF321" s="757"/>
      <c r="AG321" s="525"/>
      <c r="AH321" s="477"/>
      <c r="AI321" s="477"/>
      <c r="AJ321" s="477"/>
      <c r="AK321" s="477"/>
      <c r="AL321" s="477"/>
      <c r="AM321" s="477"/>
      <c r="AN321" s="477"/>
      <c r="AO321" s="477"/>
      <c r="AP321" s="477"/>
      <c r="AQ321" s="477"/>
      <c r="AR321" s="477"/>
      <c r="AS321" s="477"/>
      <c r="AT321" s="477"/>
      <c r="AU321" s="477"/>
      <c r="AV321" s="477"/>
      <c r="AW321" s="477"/>
      <c r="AX321" s="477"/>
      <c r="AY321" s="477"/>
      <c r="AZ321" s="477"/>
      <c r="BA321" s="477"/>
      <c r="BB321" s="477"/>
      <c r="BC321" s="477"/>
      <c r="BD321" s="477"/>
      <c r="BE321" s="477"/>
      <c r="BF321" s="477"/>
      <c r="BG321" s="477"/>
      <c r="BH321" s="432"/>
      <c r="BI321" s="95"/>
      <c r="BJ321" s="95"/>
      <c r="BK321" s="95"/>
      <c r="BL321" s="95"/>
      <c r="BM321" s="95"/>
      <c r="BN321" s="95"/>
      <c r="BO321" s="95"/>
      <c r="BP321" s="95"/>
      <c r="BQ321" s="95"/>
      <c r="BR321" s="95"/>
      <c r="BS321" s="95"/>
      <c r="BT321" s="95"/>
      <c r="BU321" s="95"/>
      <c r="BV321" s="95"/>
      <c r="BW321" s="95"/>
      <c r="BX321" s="95"/>
      <c r="BY321" s="95"/>
      <c r="BZ321" s="95"/>
      <c r="CA321" s="95"/>
      <c r="CB321" s="95"/>
      <c r="CC321" s="95"/>
      <c r="CD321" s="95"/>
      <c r="CE321" s="95"/>
      <c r="DI321" s="435"/>
    </row>
    <row r="322" spans="1:123" s="433" customFormat="1">
      <c r="A322" s="2311"/>
      <c r="B322" s="2308"/>
      <c r="C322" s="515"/>
      <c r="D322" s="525"/>
      <c r="E322" s="525"/>
      <c r="F322" s="525"/>
      <c r="G322" s="525"/>
      <c r="H322" s="525"/>
      <c r="I322" s="525"/>
      <c r="J322" s="757"/>
      <c r="K322" s="525"/>
      <c r="L322" s="757"/>
      <c r="M322" s="525"/>
      <c r="N322" s="758"/>
      <c r="O322" s="759"/>
      <c r="P322" s="759"/>
      <c r="Q322" s="605"/>
      <c r="R322" s="605"/>
      <c r="S322" s="1108">
        <v>153.53399999999999</v>
      </c>
      <c r="T322" s="970">
        <v>0.15</v>
      </c>
      <c r="U322" s="603"/>
      <c r="V322" s="2333"/>
      <c r="W322" s="40" t="s">
        <v>174</v>
      </c>
      <c r="X322" s="92" t="s">
        <v>1314</v>
      </c>
      <c r="Y322" s="660">
        <f>((50*$R$314)+(0.62*$R$313)+$R$317+$R$315+$T$320)*(1+$T$322)</f>
        <v>921.11587387948134</v>
      </c>
      <c r="Z322" s="660">
        <f>Y322-$Y$321</f>
        <v>305.43674825148162</v>
      </c>
      <c r="AA322" s="661">
        <f>(0.62-0.57)*$P$313</f>
        <v>50.256074800000043</v>
      </c>
      <c r="AB322" s="722"/>
      <c r="AC322" s="525"/>
      <c r="AD322" s="524"/>
      <c r="AE322" s="525"/>
      <c r="AF322" s="757"/>
      <c r="AG322" s="525"/>
      <c r="AH322" s="477"/>
      <c r="AI322" s="477"/>
      <c r="AJ322" s="477"/>
      <c r="AK322" s="477"/>
      <c r="AL322" s="477"/>
      <c r="AM322" s="477"/>
      <c r="AN322" s="477"/>
      <c r="AO322" s="477"/>
      <c r="AP322" s="477"/>
      <c r="AQ322" s="477"/>
      <c r="AR322" s="477"/>
      <c r="AS322" s="477"/>
      <c r="AT322" s="477"/>
      <c r="AU322" s="477"/>
      <c r="AV322" s="477"/>
      <c r="AW322" s="477"/>
      <c r="AX322" s="477"/>
      <c r="AY322" s="477"/>
      <c r="AZ322" s="477"/>
      <c r="BA322" s="477"/>
      <c r="BB322" s="477"/>
      <c r="BC322" s="477"/>
      <c r="BD322" s="477"/>
      <c r="BE322" s="477"/>
      <c r="BF322" s="477"/>
      <c r="BG322" s="477"/>
      <c r="BH322" s="432"/>
      <c r="BI322" s="95"/>
      <c r="BJ322" s="95"/>
      <c r="BK322" s="95"/>
      <c r="BL322" s="95"/>
      <c r="BM322" s="95"/>
      <c r="BN322" s="95"/>
      <c r="BO322" s="95"/>
      <c r="BP322" s="95"/>
      <c r="BQ322" s="95"/>
      <c r="BR322" s="95"/>
      <c r="BS322" s="95"/>
      <c r="BT322" s="95"/>
      <c r="BU322" s="95"/>
      <c r="BV322" s="95"/>
      <c r="BW322" s="95"/>
      <c r="BX322" s="95"/>
      <c r="BY322" s="95"/>
      <c r="BZ322" s="95"/>
      <c r="CA322" s="95"/>
      <c r="CB322" s="95"/>
      <c r="CC322" s="95"/>
      <c r="CD322" s="95"/>
      <c r="CE322" s="95"/>
      <c r="DI322" s="435"/>
    </row>
    <row r="323" spans="1:123" s="433" customFormat="1">
      <c r="A323" s="2311"/>
      <c r="B323" s="2308"/>
      <c r="C323" s="515"/>
      <c r="D323" s="525"/>
      <c r="E323" s="525"/>
      <c r="F323" s="525"/>
      <c r="G323" s="525"/>
      <c r="H323" s="525"/>
      <c r="I323" s="525"/>
      <c r="J323" s="757"/>
      <c r="K323" s="525"/>
      <c r="L323" s="757"/>
      <c r="M323" s="525"/>
      <c r="N323" s="758"/>
      <c r="O323" s="759"/>
      <c r="P323" s="759"/>
      <c r="Q323" s="605"/>
      <c r="R323" s="605"/>
      <c r="S323" s="524"/>
      <c r="T323" s="525"/>
      <c r="U323" s="672"/>
      <c r="V323" s="2333"/>
      <c r="W323" s="40" t="s">
        <v>174</v>
      </c>
      <c r="X323" s="92" t="s">
        <v>1315</v>
      </c>
      <c r="Y323" s="660">
        <f>((50*$R$314)+(0.67*$R$313)+$R$317+$R$315+$T$320)*(1+$T$322)</f>
        <v>1055.2349801494815</v>
      </c>
      <c r="Z323" s="660">
        <f>Y323-$Y$321</f>
        <v>439.55585452148182</v>
      </c>
      <c r="AA323" s="661">
        <f>(0.67-0.57)*$P$313</f>
        <v>100.51214960000009</v>
      </c>
      <c r="AB323" s="722"/>
      <c r="AC323" s="525"/>
      <c r="AD323" s="524"/>
      <c r="AE323" s="525"/>
      <c r="AF323" s="757"/>
      <c r="AG323" s="525"/>
      <c r="AH323" s="477"/>
      <c r="AI323" s="477"/>
      <c r="AJ323" s="477"/>
      <c r="AK323" s="477"/>
      <c r="AL323" s="477"/>
      <c r="AM323" s="477"/>
      <c r="AN323" s="477"/>
      <c r="AO323" s="477"/>
      <c r="AP323" s="477"/>
      <c r="AQ323" s="477"/>
      <c r="AR323" s="477"/>
      <c r="AS323" s="477"/>
      <c r="AT323" s="477"/>
      <c r="AU323" s="477"/>
      <c r="AV323" s="477"/>
      <c r="AW323" s="477"/>
      <c r="AX323" s="477"/>
      <c r="AY323" s="477"/>
      <c r="AZ323" s="477"/>
      <c r="BA323" s="477"/>
      <c r="BB323" s="477"/>
      <c r="BC323" s="477"/>
      <c r="BD323" s="477"/>
      <c r="BE323" s="477"/>
      <c r="BF323" s="477"/>
      <c r="BG323" s="477"/>
      <c r="BH323" s="432"/>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DI323" s="435"/>
    </row>
    <row r="324" spans="1:123" s="433" customFormat="1">
      <c r="A324" s="2311"/>
      <c r="B324" s="2308"/>
      <c r="C324" s="515"/>
      <c r="D324" s="525"/>
      <c r="E324" s="525"/>
      <c r="F324" s="525"/>
      <c r="G324" s="525"/>
      <c r="H324" s="525"/>
      <c r="I324" s="525"/>
      <c r="J324" s="757"/>
      <c r="K324" s="525"/>
      <c r="L324" s="757"/>
      <c r="M324" s="525"/>
      <c r="N324" s="758"/>
      <c r="O324" s="759"/>
      <c r="P324" s="759"/>
      <c r="Q324" s="605"/>
      <c r="R324" s="605"/>
      <c r="S324" s="514"/>
      <c r="T324" s="515"/>
      <c r="U324" s="452"/>
      <c r="V324" s="2333"/>
      <c r="W324" s="40" t="s">
        <v>174</v>
      </c>
      <c r="X324" s="92" t="s">
        <v>1316</v>
      </c>
      <c r="Y324" s="660">
        <f>((50*$R$314)+(0.7*$R$313)+$R$317+$R$315+$T$320)*(1+$T$322)</f>
        <v>1135.7064439114811</v>
      </c>
      <c r="Z324" s="660">
        <f>Y324-$Y$321</f>
        <v>520.02731828348135</v>
      </c>
      <c r="AA324" s="661">
        <f>(0.7-0.57)*$P$313</f>
        <v>130.66579447999999</v>
      </c>
      <c r="AB324" s="722"/>
      <c r="AC324" s="525"/>
      <c r="AD324" s="524"/>
      <c r="AE324" s="525"/>
      <c r="AF324" s="757"/>
      <c r="AG324" s="525"/>
      <c r="AH324" s="477"/>
      <c r="AI324" s="477"/>
      <c r="AJ324" s="477"/>
      <c r="AK324" s="477"/>
      <c r="AL324" s="477"/>
      <c r="AM324" s="477"/>
      <c r="AN324" s="477"/>
      <c r="AO324" s="477"/>
      <c r="AP324" s="477"/>
      <c r="AQ324" s="477"/>
      <c r="AR324" s="477"/>
      <c r="AS324" s="477"/>
      <c r="AT324" s="477"/>
      <c r="AU324" s="477"/>
      <c r="AV324" s="477"/>
      <c r="AW324" s="477"/>
      <c r="AX324" s="477"/>
      <c r="AY324" s="477"/>
      <c r="AZ324" s="477"/>
      <c r="BA324" s="477"/>
      <c r="BB324" s="477"/>
      <c r="BC324" s="477"/>
      <c r="BD324" s="477"/>
      <c r="BE324" s="477"/>
      <c r="BF324" s="477"/>
      <c r="BG324" s="477"/>
      <c r="BH324" s="432"/>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DI324" s="435"/>
    </row>
    <row r="325" spans="1:123" s="433" customFormat="1">
      <c r="A325" s="2311"/>
      <c r="B325" s="2308"/>
      <c r="C325" s="515"/>
      <c r="D325" s="525"/>
      <c r="E325" s="525"/>
      <c r="F325" s="525"/>
      <c r="G325" s="525"/>
      <c r="H325" s="525"/>
      <c r="I325" s="525"/>
      <c r="J325" s="757"/>
      <c r="K325" s="525"/>
      <c r="L325" s="757"/>
      <c r="M325" s="525"/>
      <c r="N325" s="758"/>
      <c r="O325" s="759"/>
      <c r="P325" s="759"/>
      <c r="Q325" s="605"/>
      <c r="R325" s="605"/>
      <c r="S325" s="514"/>
      <c r="T325" s="515"/>
      <c r="U325" s="452"/>
      <c r="V325" s="2333"/>
      <c r="W325" s="40" t="s">
        <v>175</v>
      </c>
      <c r="X325" s="92" t="s">
        <v>1308</v>
      </c>
      <c r="Y325" s="660">
        <f>((60*$R$314)+(0.56*$R$313)+$R$317+$T$320)*(1+$T$322)</f>
        <v>693.13329087399961</v>
      </c>
      <c r="Z325" s="660" t="s">
        <v>918</v>
      </c>
      <c r="AA325" s="661" t="s">
        <v>918</v>
      </c>
      <c r="AB325" s="722"/>
      <c r="AC325" s="525"/>
      <c r="AD325" s="524"/>
      <c r="AE325" s="525"/>
      <c r="AF325" s="757"/>
      <c r="AG325" s="525"/>
      <c r="AH325" s="477"/>
      <c r="AI325" s="477"/>
      <c r="AJ325" s="477"/>
      <c r="AK325" s="477"/>
      <c r="AL325" s="477"/>
      <c r="AM325" s="477"/>
      <c r="AN325" s="477"/>
      <c r="AO325" s="477"/>
      <c r="AP325" s="477"/>
      <c r="AQ325" s="477"/>
      <c r="AR325" s="477"/>
      <c r="AS325" s="477"/>
      <c r="AT325" s="477"/>
      <c r="AU325" s="477"/>
      <c r="AV325" s="477"/>
      <c r="AW325" s="477"/>
      <c r="AX325" s="477"/>
      <c r="AY325" s="477"/>
      <c r="AZ325" s="477"/>
      <c r="BA325" s="477"/>
      <c r="BB325" s="477"/>
      <c r="BC325" s="477"/>
      <c r="BD325" s="477"/>
      <c r="BE325" s="477"/>
      <c r="BF325" s="477"/>
      <c r="BG325" s="477"/>
      <c r="BH325" s="432"/>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DI325" s="435"/>
    </row>
    <row r="326" spans="1:123" s="433" customFormat="1">
      <c r="A326" s="2311"/>
      <c r="B326" s="2308"/>
      <c r="C326" s="515"/>
      <c r="D326" s="525"/>
      <c r="E326" s="525"/>
      <c r="F326" s="525"/>
      <c r="G326" s="525"/>
      <c r="H326" s="525"/>
      <c r="I326" s="525"/>
      <c r="J326" s="757"/>
      <c r="K326" s="525"/>
      <c r="L326" s="757"/>
      <c r="M326" s="525"/>
      <c r="N326" s="758"/>
      <c r="O326" s="759"/>
      <c r="P326" s="759"/>
      <c r="Q326" s="605"/>
      <c r="R326" s="605"/>
      <c r="S326" s="514"/>
      <c r="T326" s="515"/>
      <c r="U326" s="452"/>
      <c r="V326" s="2333"/>
      <c r="W326" s="40" t="s">
        <v>174</v>
      </c>
      <c r="X326" s="92" t="s">
        <v>1317</v>
      </c>
      <c r="Y326" s="660">
        <f>((60*$R$314)+(0.62*$R$313)+$R$317+$R$315+$T$320)*(1+$T$322)</f>
        <v>1025.3938603794811</v>
      </c>
      <c r="Z326" s="660">
        <f>Y326-$Y$325</f>
        <v>332.2605695054815</v>
      </c>
      <c r="AA326" s="661">
        <f>(0.62-0.56)*$P$313</f>
        <v>60.307289759999939</v>
      </c>
      <c r="AB326" s="722"/>
      <c r="AC326" s="525"/>
      <c r="AD326" s="524"/>
      <c r="AE326" s="525"/>
      <c r="AF326" s="757"/>
      <c r="AG326" s="525"/>
      <c r="AH326" s="477"/>
      <c r="AI326" s="477"/>
      <c r="AJ326" s="477"/>
      <c r="AK326" s="477"/>
      <c r="AL326" s="477"/>
      <c r="AM326" s="477"/>
      <c r="AN326" s="477"/>
      <c r="AO326" s="477"/>
      <c r="AP326" s="477"/>
      <c r="AQ326" s="477"/>
      <c r="AR326" s="477"/>
      <c r="AS326" s="477"/>
      <c r="AT326" s="477"/>
      <c r="AU326" s="477"/>
      <c r="AV326" s="477"/>
      <c r="AW326" s="477"/>
      <c r="AX326" s="477"/>
      <c r="AY326" s="477"/>
      <c r="AZ326" s="477"/>
      <c r="BA326" s="477"/>
      <c r="BB326" s="477"/>
      <c r="BC326" s="477"/>
      <c r="BD326" s="477"/>
      <c r="BE326" s="477"/>
      <c r="BF326" s="477"/>
      <c r="BG326" s="477"/>
      <c r="BH326" s="432"/>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DI326" s="435"/>
    </row>
    <row r="327" spans="1:123" s="433" customFormat="1">
      <c r="A327" s="2311"/>
      <c r="B327" s="2308"/>
      <c r="C327" s="515"/>
      <c r="D327" s="525"/>
      <c r="E327" s="525"/>
      <c r="F327" s="525"/>
      <c r="G327" s="525"/>
      <c r="H327" s="525"/>
      <c r="I327" s="525"/>
      <c r="J327" s="757"/>
      <c r="K327" s="525"/>
      <c r="L327" s="757"/>
      <c r="M327" s="525"/>
      <c r="N327" s="758"/>
      <c r="O327" s="759"/>
      <c r="P327" s="759"/>
      <c r="Q327" s="605"/>
      <c r="R327" s="605"/>
      <c r="S327" s="514"/>
      <c r="T327" s="515"/>
      <c r="U327" s="452"/>
      <c r="V327" s="2333"/>
      <c r="W327" s="40" t="s">
        <v>174</v>
      </c>
      <c r="X327" s="92" t="s">
        <v>1318</v>
      </c>
      <c r="Y327" s="660">
        <f>((60*$R$314)+(0.66*$R$313)+$R$317+$R$315+$T$320)*(1+$T$322)</f>
        <v>1132.6891453954809</v>
      </c>
      <c r="Z327" s="660">
        <f>Y327-$Y$325</f>
        <v>439.55585452148125</v>
      </c>
      <c r="AA327" s="661">
        <f>(0.66-0.56)*$P$313</f>
        <v>100.51214959999997</v>
      </c>
      <c r="AB327" s="722"/>
      <c r="AC327" s="525"/>
      <c r="AD327" s="524"/>
      <c r="AE327" s="525"/>
      <c r="AF327" s="757"/>
      <c r="AG327" s="525"/>
      <c r="AH327" s="477"/>
      <c r="AI327" s="477"/>
      <c r="AJ327" s="477"/>
      <c r="AK327" s="477"/>
      <c r="AL327" s="477"/>
      <c r="AM327" s="477"/>
      <c r="AN327" s="477"/>
      <c r="AO327" s="477"/>
      <c r="AP327" s="477"/>
      <c r="AQ327" s="477"/>
      <c r="AR327" s="477"/>
      <c r="AS327" s="477"/>
      <c r="AT327" s="477"/>
      <c r="AU327" s="477"/>
      <c r="AV327" s="477"/>
      <c r="AW327" s="477"/>
      <c r="AX327" s="477"/>
      <c r="AY327" s="477"/>
      <c r="AZ327" s="477"/>
      <c r="BA327" s="477"/>
      <c r="BB327" s="477"/>
      <c r="BC327" s="477"/>
      <c r="BD327" s="477"/>
      <c r="BE327" s="477"/>
      <c r="BF327" s="477"/>
      <c r="BG327" s="477"/>
      <c r="BH327" s="432"/>
      <c r="BI327" s="95"/>
      <c r="BJ327" s="95"/>
      <c r="BK327" s="95"/>
      <c r="BL327" s="95"/>
      <c r="BM327" s="95"/>
      <c r="BN327" s="95"/>
      <c r="BO327" s="95"/>
      <c r="BP327" s="95"/>
      <c r="BQ327" s="95"/>
      <c r="BR327" s="95"/>
      <c r="BS327" s="95"/>
      <c r="BT327" s="95"/>
      <c r="BU327" s="95"/>
      <c r="BV327" s="95"/>
      <c r="BW327" s="95"/>
      <c r="BX327" s="95"/>
      <c r="BY327" s="95"/>
      <c r="BZ327" s="95"/>
      <c r="CA327" s="95"/>
      <c r="CB327" s="95"/>
      <c r="CC327" s="95"/>
      <c r="CD327" s="95"/>
      <c r="CE327" s="95"/>
      <c r="DI327" s="435"/>
    </row>
    <row r="328" spans="1:123">
      <c r="A328" s="2311"/>
      <c r="B328" s="2308"/>
      <c r="C328" s="515"/>
      <c r="D328" s="525"/>
      <c r="E328" s="525"/>
      <c r="F328" s="525"/>
      <c r="G328" s="525"/>
      <c r="H328" s="525"/>
      <c r="I328" s="525"/>
      <c r="J328" s="757"/>
      <c r="K328" s="525"/>
      <c r="L328" s="757"/>
      <c r="M328" s="525"/>
      <c r="N328" s="758"/>
      <c r="O328" s="759"/>
      <c r="P328" s="759"/>
      <c r="Q328" s="605"/>
      <c r="R328" s="605"/>
      <c r="S328" s="514"/>
      <c r="T328" s="515"/>
      <c r="U328" s="452"/>
      <c r="V328" s="2333"/>
      <c r="W328" s="40" t="s">
        <v>174</v>
      </c>
      <c r="X328" s="92" t="s">
        <v>1319</v>
      </c>
      <c r="Y328" s="660">
        <f>((60*$R$314)+(0.7*$R$313)+$R$317+$R$315+$T$320)*(1+$T$322)</f>
        <v>1239.9844304114808</v>
      </c>
      <c r="Z328" s="660">
        <f>Y328-$Y$325</f>
        <v>546.85113953748123</v>
      </c>
      <c r="AA328" s="661">
        <f>(0.7-0.56)*$P$313</f>
        <v>140.71700943999991</v>
      </c>
      <c r="AB328" s="722"/>
      <c r="AC328" s="525"/>
      <c r="AD328" s="524"/>
      <c r="AE328" s="525"/>
      <c r="AF328" s="757"/>
      <c r="AG328" s="525"/>
      <c r="AH328" s="477"/>
      <c r="AI328" s="477"/>
      <c r="AJ328" s="477"/>
      <c r="AK328" s="477"/>
      <c r="AL328" s="477"/>
      <c r="AM328" s="477"/>
      <c r="AN328" s="477"/>
      <c r="AO328" s="477"/>
      <c r="AP328" s="477"/>
      <c r="AQ328" s="477"/>
      <c r="AR328" s="477"/>
      <c r="AS328" s="477"/>
      <c r="AT328" s="477"/>
      <c r="AU328" s="477"/>
      <c r="AV328" s="477"/>
      <c r="AW328" s="477"/>
      <c r="AX328" s="477"/>
      <c r="AY328" s="477"/>
      <c r="AZ328" s="477"/>
      <c r="BA328" s="477"/>
      <c r="BB328" s="477"/>
      <c r="BC328" s="477"/>
      <c r="BD328" s="477"/>
      <c r="BE328" s="477"/>
      <c r="BF328" s="477"/>
      <c r="BG328" s="477"/>
    </row>
    <row r="329" spans="1:123">
      <c r="A329" s="2311"/>
      <c r="B329" s="2308"/>
      <c r="C329" s="515"/>
      <c r="D329" s="525"/>
      <c r="E329" s="525"/>
      <c r="F329" s="525"/>
      <c r="G329" s="525"/>
      <c r="H329" s="525"/>
      <c r="I329" s="525"/>
      <c r="J329" s="757"/>
      <c r="K329" s="525"/>
      <c r="L329" s="757"/>
      <c r="M329" s="525"/>
      <c r="N329" s="758"/>
      <c r="O329" s="759"/>
      <c r="P329" s="759"/>
      <c r="Q329" s="605"/>
      <c r="R329" s="605"/>
      <c r="S329" s="514"/>
      <c r="T329" s="515"/>
      <c r="U329" s="452"/>
      <c r="V329" s="2333"/>
      <c r="W329" s="40" t="s">
        <v>175</v>
      </c>
      <c r="X329" s="92" t="s">
        <v>1310</v>
      </c>
      <c r="Y329" s="660">
        <f>((75*$R$314)+(0.53*$R$313)+$R$317+$T$320)*(1+$T$322)</f>
        <v>769.07880686199974</v>
      </c>
      <c r="Z329" s="660" t="s">
        <v>918</v>
      </c>
      <c r="AA329" s="661" t="s">
        <v>918</v>
      </c>
      <c r="AB329" s="722"/>
      <c r="AC329" s="525"/>
      <c r="AD329" s="524"/>
      <c r="AE329" s="525"/>
      <c r="AF329" s="757"/>
      <c r="AG329" s="525"/>
      <c r="AH329" s="477"/>
      <c r="AI329" s="477"/>
      <c r="AJ329" s="477"/>
      <c r="AK329" s="477"/>
      <c r="AL329" s="477"/>
      <c r="AM329" s="477"/>
      <c r="AN329" s="477"/>
      <c r="AO329" s="477"/>
      <c r="AP329" s="477"/>
      <c r="AQ329" s="477"/>
      <c r="AR329" s="477"/>
      <c r="AS329" s="477"/>
      <c r="AT329" s="477"/>
      <c r="AU329" s="477"/>
      <c r="AV329" s="477"/>
      <c r="AW329" s="477"/>
      <c r="AX329" s="477"/>
      <c r="AY329" s="477"/>
      <c r="AZ329" s="477"/>
      <c r="BA329" s="477"/>
      <c r="BB329" s="477"/>
      <c r="BC329" s="477"/>
      <c r="BD329" s="477"/>
      <c r="BE329" s="477"/>
      <c r="BF329" s="477"/>
      <c r="BG329" s="477"/>
    </row>
    <row r="330" spans="1:123">
      <c r="A330" s="2311"/>
      <c r="B330" s="2308"/>
      <c r="C330" s="515"/>
      <c r="D330" s="525"/>
      <c r="E330" s="525"/>
      <c r="F330" s="525"/>
      <c r="G330" s="525"/>
      <c r="H330" s="525"/>
      <c r="I330" s="525"/>
      <c r="J330" s="757"/>
      <c r="K330" s="525"/>
      <c r="L330" s="757"/>
      <c r="M330" s="525"/>
      <c r="N330" s="758"/>
      <c r="O330" s="759"/>
      <c r="P330" s="759"/>
      <c r="Q330" s="605"/>
      <c r="R330" s="605"/>
      <c r="S330" s="514"/>
      <c r="T330" s="515"/>
      <c r="U330" s="452"/>
      <c r="V330" s="2333"/>
      <c r="W330" s="40" t="s">
        <v>174</v>
      </c>
      <c r="X330" s="92" t="s">
        <v>1320</v>
      </c>
      <c r="Y330" s="660">
        <f>((75*$R$314)+(0.62*$R$313)+$R$317+$R$315+$T$320)*(1+$T$322)</f>
        <v>1181.810840129481</v>
      </c>
      <c r="Z330" s="660">
        <f>Y330-$Y$329</f>
        <v>412.73203326748126</v>
      </c>
      <c r="AA330" s="661">
        <f>(0.62-0.53)*$P$313</f>
        <v>90.460934639999962</v>
      </c>
      <c r="AB330" s="722"/>
      <c r="AC330" s="525"/>
      <c r="AD330" s="524"/>
      <c r="AE330" s="525"/>
      <c r="AF330" s="757"/>
      <c r="AG330" s="525"/>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7"/>
      <c r="BC330" s="477"/>
      <c r="BD330" s="477"/>
      <c r="BE330" s="477"/>
      <c r="BF330" s="477"/>
      <c r="BG330" s="477"/>
    </row>
    <row r="331" spans="1:123">
      <c r="A331" s="2311"/>
      <c r="B331" s="2308"/>
      <c r="C331" s="515"/>
      <c r="D331" s="525"/>
      <c r="E331" s="525"/>
      <c r="F331" s="525"/>
      <c r="G331" s="525"/>
      <c r="H331" s="525"/>
      <c r="I331" s="525"/>
      <c r="J331" s="757"/>
      <c r="K331" s="525"/>
      <c r="L331" s="757"/>
      <c r="M331" s="525"/>
      <c r="N331" s="758"/>
      <c r="O331" s="759"/>
      <c r="P331" s="759"/>
      <c r="Q331" s="605"/>
      <c r="R331" s="605"/>
      <c r="S331" s="514"/>
      <c r="T331" s="515"/>
      <c r="U331" s="452"/>
      <c r="V331" s="2333"/>
      <c r="W331" s="40" t="s">
        <v>174</v>
      </c>
      <c r="X331" s="92" t="s">
        <v>1321</v>
      </c>
      <c r="Y331" s="660">
        <f>((75*$R$314)+(0.66*$R$313)+$R$317+$R$315+$T$320)*(1+$T$322)</f>
        <v>1289.1061251454812</v>
      </c>
      <c r="Z331" s="660">
        <f>Y331-$Y$329</f>
        <v>520.02731828348146</v>
      </c>
      <c r="AA331" s="661">
        <f>(0.66-0.53)*$P$313</f>
        <v>130.66579447999999</v>
      </c>
      <c r="AB331" s="722"/>
      <c r="AC331" s="525"/>
      <c r="AD331" s="524"/>
      <c r="AE331" s="525"/>
      <c r="AF331" s="757"/>
      <c r="AG331" s="525"/>
      <c r="AH331" s="477"/>
      <c r="AI331" s="477"/>
      <c r="AJ331" s="477"/>
      <c r="AK331" s="477"/>
      <c r="AL331" s="477"/>
      <c r="AM331" s="477"/>
      <c r="AN331" s="477"/>
      <c r="AO331" s="477"/>
      <c r="AP331" s="477"/>
      <c r="AQ331" s="477"/>
      <c r="AR331" s="477"/>
      <c r="AS331" s="477"/>
      <c r="AT331" s="477"/>
      <c r="AU331" s="477"/>
      <c r="AV331" s="477"/>
      <c r="AW331" s="477"/>
      <c r="AX331" s="477"/>
      <c r="AY331" s="477"/>
      <c r="AZ331" s="477"/>
      <c r="BA331" s="477"/>
      <c r="BB331" s="477"/>
      <c r="BC331" s="477"/>
      <c r="BD331" s="477"/>
      <c r="BE331" s="477"/>
      <c r="BF331" s="477"/>
      <c r="BG331" s="477"/>
    </row>
    <row r="332" spans="1:123" ht="15" thickBot="1">
      <c r="A332" s="2311"/>
      <c r="B332" s="2331"/>
      <c r="C332" s="515"/>
      <c r="D332" s="525"/>
      <c r="E332" s="525"/>
      <c r="F332" s="525"/>
      <c r="G332" s="525"/>
      <c r="H332" s="525"/>
      <c r="I332" s="525"/>
      <c r="J332" s="757"/>
      <c r="K332" s="525"/>
      <c r="L332" s="757"/>
      <c r="M332" s="525"/>
      <c r="N332" s="758"/>
      <c r="O332" s="759"/>
      <c r="P332" s="759"/>
      <c r="Q332" s="605"/>
      <c r="R332" s="605"/>
      <c r="S332" s="514"/>
      <c r="T332" s="515"/>
      <c r="U332" s="452"/>
      <c r="V332" s="2338"/>
      <c r="W332" s="40" t="s">
        <v>174</v>
      </c>
      <c r="X332" s="92" t="s">
        <v>1322</v>
      </c>
      <c r="Y332" s="660">
        <f>((75*$R$314)+(0.7*$R$313)+$R$317+$R$315+$T$320)*(1+$T$322)</f>
        <v>1396.4014101614807</v>
      </c>
      <c r="Z332" s="660">
        <f>Y332-$Y$329</f>
        <v>627.32260329948099</v>
      </c>
      <c r="AA332" s="661">
        <f>(0.7-0.53)*$P$313</f>
        <v>170.87065431999991</v>
      </c>
      <c r="AB332" s="722"/>
      <c r="AC332" s="525"/>
      <c r="AD332" s="524"/>
      <c r="AE332" s="525"/>
      <c r="AF332" s="757"/>
      <c r="AG332" s="525"/>
      <c r="AH332" s="477"/>
      <c r="AI332" s="477"/>
      <c r="AJ332" s="477"/>
      <c r="AK332" s="477"/>
      <c r="AL332" s="477"/>
      <c r="AM332" s="477"/>
      <c r="AN332" s="477"/>
      <c r="AO332" s="477"/>
      <c r="AP332" s="477"/>
      <c r="AQ332" s="477"/>
      <c r="AR332" s="477"/>
      <c r="AS332" s="477"/>
      <c r="AT332" s="477"/>
      <c r="AU332" s="477"/>
      <c r="AV332" s="477"/>
      <c r="AW332" s="477"/>
      <c r="AX332" s="477"/>
      <c r="AY332" s="477"/>
      <c r="AZ332" s="477"/>
      <c r="BA332" s="477"/>
      <c r="BB332" s="477"/>
      <c r="BC332" s="477"/>
      <c r="BD332" s="477"/>
      <c r="BE332" s="477"/>
      <c r="BF332" s="477"/>
      <c r="BG332" s="477"/>
    </row>
    <row r="333" spans="1:123" ht="18.600000000000001" thickBot="1">
      <c r="A333" s="540"/>
      <c r="B333" s="541"/>
      <c r="C333" s="444"/>
      <c r="D333" s="445"/>
      <c r="E333" s="445"/>
      <c r="F333" s="445"/>
      <c r="G333" s="445"/>
      <c r="H333" s="445"/>
      <c r="I333" s="445"/>
      <c r="J333" s="446"/>
      <c r="K333" s="445"/>
      <c r="L333" s="446"/>
      <c r="M333" s="447"/>
      <c r="N333" s="448"/>
      <c r="O333" s="449"/>
      <c r="P333" s="449"/>
      <c r="Q333" s="450"/>
      <c r="R333" s="450"/>
      <c r="S333" s="451"/>
      <c r="T333" s="451"/>
      <c r="U333" s="452"/>
      <c r="V333" s="453"/>
      <c r="W333" s="447"/>
      <c r="X333" s="447"/>
      <c r="Y333" s="447"/>
      <c r="Z333" s="447"/>
      <c r="AA333" s="447"/>
      <c r="AC333" s="447"/>
      <c r="AD333" s="447"/>
      <c r="AE333" s="447"/>
      <c r="AF333" s="455"/>
      <c r="AG333" s="447"/>
      <c r="AH333" s="456"/>
      <c r="AI333" s="456"/>
      <c r="AJ333" s="456"/>
      <c r="AK333" s="456"/>
      <c r="AL333" s="456"/>
      <c r="AM333" s="456"/>
      <c r="AN333" s="456"/>
      <c r="AO333" s="456"/>
      <c r="AP333" s="456"/>
      <c r="AQ333" s="456"/>
      <c r="AR333" s="456"/>
      <c r="AS333" s="456"/>
      <c r="AT333" s="456"/>
      <c r="AU333" s="456"/>
      <c r="AV333" s="456" t="s">
        <v>1023</v>
      </c>
      <c r="AW333" s="456" t="s">
        <v>1157</v>
      </c>
      <c r="AX333" s="456"/>
      <c r="AY333" s="653"/>
      <c r="AZ333" s="653"/>
      <c r="BA333" s="653"/>
      <c r="BB333" s="653"/>
      <c r="BC333" s="653"/>
      <c r="BD333" s="653"/>
      <c r="BE333" s="653"/>
      <c r="BF333" s="653"/>
      <c r="BG333" s="653"/>
    </row>
    <row r="334" spans="1:123" s="626" customFormat="1" ht="21" customHeight="1">
      <c r="A334" s="2310" t="s">
        <v>1323</v>
      </c>
      <c r="B334" s="1094" t="s">
        <v>1291</v>
      </c>
      <c r="C334" s="1095" t="s">
        <v>853</v>
      </c>
      <c r="D334" s="1096" t="s">
        <v>1324</v>
      </c>
      <c r="E334" s="1109">
        <v>33</v>
      </c>
      <c r="F334" s="1109">
        <v>0.92</v>
      </c>
      <c r="G334" s="1109">
        <v>1.6393999999999999E-2</v>
      </c>
      <c r="H334" s="1110">
        <v>427.19</v>
      </c>
      <c r="I334" s="1111">
        <v>188.93</v>
      </c>
      <c r="J334" s="1112" t="s">
        <v>853</v>
      </c>
      <c r="K334" s="656" t="s">
        <v>1325</v>
      </c>
      <c r="L334" s="1113" t="s">
        <v>35</v>
      </c>
      <c r="M334" s="1114" t="s">
        <v>35</v>
      </c>
      <c r="N334" s="1099">
        <v>8916.7788459999992</v>
      </c>
      <c r="O334" s="1100">
        <v>5.19</v>
      </c>
      <c r="P334" s="1115">
        <v>1716.4656709999999</v>
      </c>
      <c r="Q334" s="1116" t="s">
        <v>35</v>
      </c>
      <c r="R334" s="1117">
        <f>N334</f>
        <v>8916.7788459999992</v>
      </c>
      <c r="S334" s="1118" t="s">
        <v>841</v>
      </c>
      <c r="T334" s="1119" t="s">
        <v>842</v>
      </c>
      <c r="U334" s="1120"/>
      <c r="V334" s="2276" t="s">
        <v>843</v>
      </c>
      <c r="W334" s="1121" t="s">
        <v>175</v>
      </c>
      <c r="X334" s="1122" t="s">
        <v>1326</v>
      </c>
      <c r="Y334" s="1101">
        <f>((30*$R$840)+(0.93*$R$839)+$R$841+$T$846)*(1+$T$848)</f>
        <v>0</v>
      </c>
      <c r="Z334" s="2267">
        <f>Y335-Y334</f>
        <v>0</v>
      </c>
      <c r="AA334" s="2269">
        <f>(0.95-0.93)*$P$839</f>
        <v>0</v>
      </c>
      <c r="AB334" s="980"/>
      <c r="AC334" s="588"/>
      <c r="AD334" s="2271" t="s">
        <v>846</v>
      </c>
      <c r="AE334" s="2272"/>
      <c r="AF334" s="1112" t="s">
        <v>175</v>
      </c>
      <c r="AG334" s="1121" t="s">
        <v>1327</v>
      </c>
      <c r="AH334" s="1101">
        <f>((30*$R$840)+(0.93*$R$839)+$R$841+$T$846)*1.15</f>
        <v>0</v>
      </c>
      <c r="AI334" s="1013">
        <v>347</v>
      </c>
      <c r="AJ334" s="1013">
        <v>248</v>
      </c>
      <c r="AK334" s="1013">
        <v>518.04</v>
      </c>
      <c r="AL334" s="1013">
        <v>459.49</v>
      </c>
      <c r="AM334" s="1013"/>
      <c r="AN334" s="1013"/>
      <c r="AO334" s="1013"/>
      <c r="AP334" s="1013"/>
      <c r="AQ334" s="1013"/>
      <c r="AR334" s="1013"/>
      <c r="AS334" s="1013"/>
      <c r="AT334" s="1013"/>
      <c r="AU334" s="1123"/>
      <c r="AV334" s="663">
        <f t="shared" ref="AV334:AV341" si="18">AH334-AVERAGE(AI334:AU334)</f>
        <v>-393.13249999999999</v>
      </c>
      <c r="AW334" s="1124">
        <f t="shared" ref="AW334:AW341" si="19">AV334/AVERAGE(AI334:AU334)</f>
        <v>-1</v>
      </c>
      <c r="AX334" s="673"/>
      <c r="AY334" s="673"/>
      <c r="AZ334" s="673"/>
      <c r="BA334" s="673"/>
      <c r="BB334" s="673"/>
      <c r="BC334" s="673"/>
      <c r="BD334" s="673"/>
      <c r="BE334" s="673"/>
      <c r="BF334" s="673"/>
      <c r="BG334" s="673"/>
      <c r="BH334" s="432"/>
      <c r="CF334" s="542"/>
      <c r="CG334" s="542"/>
      <c r="CH334" s="542"/>
      <c r="CI334" s="542"/>
      <c r="CJ334" s="542"/>
      <c r="CK334" s="542"/>
      <c r="CL334" s="542"/>
      <c r="CM334" s="542"/>
      <c r="CN334" s="542"/>
      <c r="CO334" s="542"/>
      <c r="CP334" s="542"/>
      <c r="CQ334" s="542"/>
      <c r="CR334" s="542"/>
      <c r="CS334" s="542"/>
      <c r="CT334" s="542"/>
      <c r="CU334" s="542"/>
      <c r="CV334" s="542"/>
      <c r="CW334" s="542"/>
      <c r="CX334" s="542"/>
      <c r="CY334" s="542"/>
      <c r="CZ334" s="542"/>
      <c r="DA334" s="542"/>
      <c r="DB334" s="542"/>
      <c r="DC334" s="542"/>
      <c r="DD334" s="542"/>
      <c r="DE334" s="542"/>
      <c r="DF334" s="542"/>
      <c r="DG334" s="542"/>
      <c r="DH334" s="542"/>
      <c r="DI334" s="543"/>
      <c r="DJ334" s="542"/>
      <c r="DK334" s="542"/>
      <c r="DL334" s="542"/>
      <c r="DM334" s="542"/>
      <c r="DN334" s="542"/>
      <c r="DO334" s="542"/>
      <c r="DP334" s="542"/>
      <c r="DQ334" s="542"/>
      <c r="DR334" s="542"/>
      <c r="DS334" s="542"/>
    </row>
    <row r="335" spans="1:123" ht="15" customHeight="1">
      <c r="A335" s="2311"/>
      <c r="B335" s="1104" t="s">
        <v>1328</v>
      </c>
      <c r="C335" s="1080" t="s">
        <v>853</v>
      </c>
      <c r="D335" s="1096" t="s">
        <v>1329</v>
      </c>
      <c r="E335" s="1109">
        <v>33</v>
      </c>
      <c r="F335" s="1109">
        <v>42.666670000000003</v>
      </c>
      <c r="G335" s="1109">
        <v>12.586370000000001</v>
      </c>
      <c r="H335" s="1110">
        <v>427.19</v>
      </c>
      <c r="I335" s="1111">
        <v>188.93</v>
      </c>
      <c r="J335" s="1125" t="s">
        <v>853</v>
      </c>
      <c r="K335" s="317" t="s">
        <v>1298</v>
      </c>
      <c r="L335" s="1126" t="s">
        <v>35</v>
      </c>
      <c r="M335" s="1127" t="s">
        <v>35</v>
      </c>
      <c r="N335" s="1099">
        <v>14.085943</v>
      </c>
      <c r="O335" s="1100">
        <v>6.7</v>
      </c>
      <c r="P335" s="1115">
        <v>2.1022280000000002</v>
      </c>
      <c r="Q335" s="1128" t="s">
        <v>35</v>
      </c>
      <c r="R335" s="1129">
        <f>N335</f>
        <v>14.085943</v>
      </c>
      <c r="S335" s="51" t="s">
        <v>1159</v>
      </c>
      <c r="T335" s="1130" t="s">
        <v>1014</v>
      </c>
      <c r="U335" s="1131"/>
      <c r="V335" s="2277"/>
      <c r="W335" s="97" t="s">
        <v>174</v>
      </c>
      <c r="X335" s="51" t="s">
        <v>1330</v>
      </c>
      <c r="Y335" s="660">
        <f>((30*$R$840)+(0.95*$R$839)+$R$841+$T$846)*(1+$T$848)</f>
        <v>0</v>
      </c>
      <c r="Z335" s="2268"/>
      <c r="AA335" s="2270"/>
      <c r="AB335" s="980"/>
      <c r="AC335" s="588"/>
      <c r="AD335" s="490" t="s">
        <v>795</v>
      </c>
      <c r="AE335" s="968" t="e">
        <f>AVERAGE($AW$839:$AW$846)</f>
        <v>#DIV/0!</v>
      </c>
      <c r="AF335" s="1125" t="s">
        <v>174</v>
      </c>
      <c r="AG335" s="97" t="s">
        <v>1330</v>
      </c>
      <c r="AH335" s="660">
        <f>((30*$R$840)+(0.95*$R$839)+$R$841+$T$846)*1.15</f>
        <v>0</v>
      </c>
      <c r="AI335" s="727"/>
      <c r="AJ335" s="727"/>
      <c r="AK335" s="727"/>
      <c r="AL335" s="727"/>
      <c r="AM335" s="727"/>
      <c r="AN335" s="727"/>
      <c r="AO335" s="727">
        <v>336.25</v>
      </c>
      <c r="AP335" s="727">
        <v>435.35</v>
      </c>
      <c r="AQ335" s="727"/>
      <c r="AR335" s="727"/>
      <c r="AS335" s="727"/>
      <c r="AT335" s="727"/>
      <c r="AU335" s="727"/>
      <c r="AV335" s="663">
        <f t="shared" si="18"/>
        <v>-385.8</v>
      </c>
      <c r="AW335" s="1124">
        <f t="shared" si="19"/>
        <v>-1</v>
      </c>
      <c r="AX335" s="673"/>
      <c r="AY335" s="673"/>
      <c r="AZ335" s="673"/>
      <c r="BA335" s="673"/>
      <c r="BB335" s="673"/>
      <c r="BC335" s="673"/>
      <c r="BD335" s="673"/>
      <c r="BE335" s="673"/>
      <c r="BF335" s="673"/>
      <c r="BG335" s="673"/>
    </row>
    <row r="336" spans="1:123" ht="15" customHeight="1">
      <c r="A336" s="2311"/>
      <c r="B336" s="2273" t="s">
        <v>1041</v>
      </c>
      <c r="C336" s="2274" t="s">
        <v>862</v>
      </c>
      <c r="D336" s="1132" t="s">
        <v>1331</v>
      </c>
      <c r="E336" s="1109">
        <v>7</v>
      </c>
      <c r="F336" s="1133" t="s">
        <v>35</v>
      </c>
      <c r="G336" s="1133" t="s">
        <v>35</v>
      </c>
      <c r="H336" s="1110">
        <v>375.85</v>
      </c>
      <c r="I336" s="1111">
        <v>67.8</v>
      </c>
      <c r="J336" s="1126" t="s">
        <v>35</v>
      </c>
      <c r="K336" s="1127" t="s">
        <v>35</v>
      </c>
      <c r="L336" s="1126" t="s">
        <v>35</v>
      </c>
      <c r="M336" s="1127" t="s">
        <v>35</v>
      </c>
      <c r="N336" s="1099">
        <v>23.947389999999999</v>
      </c>
      <c r="O336" s="1100">
        <v>0.44</v>
      </c>
      <c r="P336" s="1115">
        <v>55.040239999999997</v>
      </c>
      <c r="Q336" s="774">
        <v>0</v>
      </c>
      <c r="R336" s="2275">
        <f>SUMPRODUCT(N336:N339,Q336:Q339)</f>
        <v>8.7675850946999994</v>
      </c>
      <c r="S336" s="1134" t="s">
        <v>858</v>
      </c>
      <c r="T336" s="1135" t="s">
        <v>859</v>
      </c>
      <c r="U336" s="1120"/>
      <c r="V336" s="2277"/>
      <c r="W336" s="97" t="s">
        <v>175</v>
      </c>
      <c r="X336" s="51" t="s">
        <v>1332</v>
      </c>
      <c r="Y336" s="660">
        <f>((40*$R$840)+(0.92*$R$839)+$R$841+$T$846)*(1+$T$848)</f>
        <v>0</v>
      </c>
      <c r="Z336" s="2267">
        <f>Y337-Y336</f>
        <v>0</v>
      </c>
      <c r="AA336" s="2269">
        <f>(0.94-0.92)*$P$839</f>
        <v>0</v>
      </c>
      <c r="AB336" s="980"/>
      <c r="AC336" s="588"/>
      <c r="AD336" s="490" t="s">
        <v>874</v>
      </c>
      <c r="AE336" s="968" t="e">
        <f>STDEV($AW$839:$AW$846)</f>
        <v>#DIV/0!</v>
      </c>
      <c r="AF336" s="1125" t="s">
        <v>175</v>
      </c>
      <c r="AG336" s="97" t="s">
        <v>1333</v>
      </c>
      <c r="AH336" s="660">
        <f>((40*$R$840)+(0.92*$R$839)+$R$841+$T$846)*1.15</f>
        <v>0</v>
      </c>
      <c r="AI336" s="727">
        <v>338</v>
      </c>
      <c r="AJ336" s="727">
        <v>251.21</v>
      </c>
      <c r="AK336" s="727">
        <v>504.59</v>
      </c>
      <c r="AL336" s="727">
        <v>447.53</v>
      </c>
      <c r="AM336" s="727"/>
      <c r="AN336" s="727"/>
      <c r="AO336" s="727"/>
      <c r="AP336" s="727"/>
      <c r="AQ336" s="727"/>
      <c r="AR336" s="727"/>
      <c r="AS336" s="727"/>
      <c r="AT336" s="727"/>
      <c r="AU336" s="727"/>
      <c r="AV336" s="663">
        <f t="shared" si="18"/>
        <v>-385.33249999999998</v>
      </c>
      <c r="AW336" s="1124">
        <f t="shared" si="19"/>
        <v>-1</v>
      </c>
      <c r="AX336" s="673"/>
      <c r="AY336" s="673"/>
      <c r="AZ336" s="673"/>
      <c r="BA336" s="673"/>
      <c r="BB336" s="673"/>
      <c r="BC336" s="673"/>
      <c r="BD336" s="673"/>
      <c r="BE336" s="673"/>
      <c r="BF336" s="673"/>
      <c r="BG336" s="673"/>
    </row>
    <row r="337" spans="1:123" ht="15" customHeight="1">
      <c r="A337" s="2311"/>
      <c r="B337" s="2273"/>
      <c r="C337" s="2274"/>
      <c r="D337" s="1132" t="s">
        <v>1309</v>
      </c>
      <c r="E337" s="1109">
        <v>7</v>
      </c>
      <c r="F337" s="1133" t="s">
        <v>35</v>
      </c>
      <c r="G337" s="1133" t="s">
        <v>35</v>
      </c>
      <c r="H337" s="1110">
        <v>382.73</v>
      </c>
      <c r="I337" s="1111">
        <v>83.27</v>
      </c>
      <c r="J337" s="1126" t="s">
        <v>35</v>
      </c>
      <c r="K337" s="1127" t="s">
        <v>35</v>
      </c>
      <c r="L337" s="1126" t="s">
        <v>35</v>
      </c>
      <c r="M337" s="1127" t="s">
        <v>35</v>
      </c>
      <c r="N337" s="1099">
        <v>0</v>
      </c>
      <c r="O337" s="1136" t="s">
        <v>847</v>
      </c>
      <c r="P337" s="1137" t="s">
        <v>847</v>
      </c>
      <c r="Q337" s="774">
        <v>0</v>
      </c>
      <c r="R337" s="2275"/>
      <c r="S337" s="1138" t="s">
        <v>1038</v>
      </c>
      <c r="T337" s="1139" t="s">
        <v>1019</v>
      </c>
      <c r="U337" s="1140"/>
      <c r="V337" s="2277"/>
      <c r="W337" s="97" t="s">
        <v>174</v>
      </c>
      <c r="X337" s="51" t="s">
        <v>1334</v>
      </c>
      <c r="Y337" s="660">
        <f>((40*$R$840)+(0.94*$R$839)+$R$841+$T$846)*(1+$T$848)</f>
        <v>0</v>
      </c>
      <c r="Z337" s="2268"/>
      <c r="AA337" s="2270"/>
      <c r="AB337" s="980"/>
      <c r="AC337" s="588"/>
      <c r="AD337" s="490" t="s">
        <v>977</v>
      </c>
      <c r="AE337" s="968">
        <f>MIN($AW$839:$AW$846)</f>
        <v>0</v>
      </c>
      <c r="AF337" s="1125" t="s">
        <v>174</v>
      </c>
      <c r="AG337" s="97" t="s">
        <v>1334</v>
      </c>
      <c r="AH337" s="660">
        <f>((40*$R$840)+(0.94*$R$839)+$R$841+$T$846)*1.15</f>
        <v>0</v>
      </c>
      <c r="AI337" s="727">
        <v>799</v>
      </c>
      <c r="AJ337" s="727"/>
      <c r="AK337" s="727">
        <v>847.21</v>
      </c>
      <c r="AL337" s="727">
        <v>751.4</v>
      </c>
      <c r="AM337" s="727">
        <v>995</v>
      </c>
      <c r="AN337" s="727"/>
      <c r="AO337" s="727"/>
      <c r="AP337" s="727"/>
      <c r="AQ337" s="727"/>
      <c r="AR337" s="727"/>
      <c r="AS337" s="727"/>
      <c r="AT337" s="727"/>
      <c r="AU337" s="727"/>
      <c r="AV337" s="663">
        <f t="shared" si="18"/>
        <v>-848.15250000000003</v>
      </c>
      <c r="AW337" s="1124">
        <f t="shared" si="19"/>
        <v>-1</v>
      </c>
      <c r="AX337" s="673"/>
      <c r="AY337" s="673"/>
      <c r="AZ337" s="673"/>
      <c r="BA337" s="673"/>
      <c r="BB337" s="673"/>
      <c r="BC337" s="673"/>
      <c r="BD337" s="673"/>
      <c r="BE337" s="673"/>
      <c r="BF337" s="673"/>
      <c r="BG337" s="673"/>
    </row>
    <row r="338" spans="1:123" ht="15" customHeight="1">
      <c r="A338" s="2311"/>
      <c r="B338" s="2273"/>
      <c r="C338" s="2274"/>
      <c r="D338" s="1132" t="s">
        <v>1311</v>
      </c>
      <c r="E338" s="1109">
        <v>9</v>
      </c>
      <c r="F338" s="1133" t="s">
        <v>35</v>
      </c>
      <c r="G338" s="1133" t="s">
        <v>35</v>
      </c>
      <c r="H338" s="1110">
        <v>602.92999999999995</v>
      </c>
      <c r="I338" s="1111">
        <v>280.51</v>
      </c>
      <c r="J338" s="1126" t="s">
        <v>35</v>
      </c>
      <c r="K338" s="1127" t="s">
        <v>35</v>
      </c>
      <c r="L338" s="1126" t="s">
        <v>35</v>
      </c>
      <c r="M338" s="1127" t="s">
        <v>35</v>
      </c>
      <c r="N338" s="1099">
        <v>113.717057</v>
      </c>
      <c r="O338" s="1100">
        <v>2.11</v>
      </c>
      <c r="P338" s="1115">
        <v>53.949168999999998</v>
      </c>
      <c r="Q338" s="774">
        <v>7.7100000000000002E-2</v>
      </c>
      <c r="R338" s="2275"/>
      <c r="S338" s="1134" t="s">
        <v>868</v>
      </c>
      <c r="T338" s="1135" t="s">
        <v>869</v>
      </c>
      <c r="U338" s="1120"/>
      <c r="V338" s="2277"/>
      <c r="W338" s="97" t="s">
        <v>175</v>
      </c>
      <c r="X338" s="51" t="s">
        <v>1335</v>
      </c>
      <c r="Y338" s="660">
        <f>((50*$R$840)+(0.9*$R$839)+$R$841+$T$846)*(1+$T$848)</f>
        <v>0</v>
      </c>
      <c r="Z338" s="2267">
        <f>Y339-Y338</f>
        <v>0</v>
      </c>
      <c r="AA338" s="2269">
        <f>(0.93-0.9)*$P$839</f>
        <v>0</v>
      </c>
      <c r="AB338" s="980"/>
      <c r="AC338" s="588"/>
      <c r="AD338" s="490" t="s">
        <v>978</v>
      </c>
      <c r="AE338" s="968">
        <f>MAX($AW$839:$AW$846)</f>
        <v>0</v>
      </c>
      <c r="AF338" s="1125" t="s">
        <v>175</v>
      </c>
      <c r="AG338" s="97" t="s">
        <v>1336</v>
      </c>
      <c r="AH338" s="660">
        <f>((50*$R$840)+(0.9*$R$839)+$R$841+$T$846)*1.15</f>
        <v>0</v>
      </c>
      <c r="AI338" s="727">
        <v>298</v>
      </c>
      <c r="AJ338" s="727">
        <v>298</v>
      </c>
      <c r="AK338" s="727"/>
      <c r="AL338" s="727"/>
      <c r="AM338" s="727">
        <v>432.95</v>
      </c>
      <c r="AN338" s="727">
        <v>443.95</v>
      </c>
      <c r="AO338" s="727"/>
      <c r="AP338" s="727"/>
      <c r="AQ338" s="727"/>
      <c r="AR338" s="727"/>
      <c r="AS338" s="727"/>
      <c r="AT338" s="727"/>
      <c r="AU338" s="727"/>
      <c r="AV338" s="663">
        <f t="shared" si="18"/>
        <v>-368.22500000000002</v>
      </c>
      <c r="AW338" s="1124">
        <f t="shared" si="19"/>
        <v>-1</v>
      </c>
      <c r="AX338" s="673"/>
      <c r="AY338" s="673"/>
      <c r="AZ338" s="673"/>
      <c r="BA338" s="673"/>
      <c r="BB338" s="673"/>
      <c r="BC338" s="673"/>
      <c r="BD338" s="673"/>
      <c r="BE338" s="673"/>
      <c r="BF338" s="673"/>
      <c r="BG338" s="673"/>
    </row>
    <row r="339" spans="1:123" ht="15" customHeight="1">
      <c r="A339" s="2311"/>
      <c r="B339" s="2273"/>
      <c r="C339" s="2274"/>
      <c r="D339" s="1132" t="s">
        <v>1312</v>
      </c>
      <c r="E339" s="1109">
        <v>10</v>
      </c>
      <c r="F339" s="1133" t="s">
        <v>35</v>
      </c>
      <c r="G339" s="1133" t="s">
        <v>35</v>
      </c>
      <c r="H339" s="1110">
        <v>336.07</v>
      </c>
      <c r="I339" s="1111">
        <v>74.790000000000006</v>
      </c>
      <c r="J339" s="1141" t="s">
        <v>35</v>
      </c>
      <c r="K339" s="1142" t="s">
        <v>35</v>
      </c>
      <c r="L339" s="1141" t="s">
        <v>35</v>
      </c>
      <c r="M339" s="1142" t="s">
        <v>35</v>
      </c>
      <c r="N339" s="1099">
        <v>-12.290048000000001</v>
      </c>
      <c r="O339" s="1100">
        <v>-0.24</v>
      </c>
      <c r="P339" s="1115">
        <v>51.727885999999998</v>
      </c>
      <c r="Q339" s="774">
        <v>0</v>
      </c>
      <c r="R339" s="2275"/>
      <c r="S339" s="51">
        <v>32</v>
      </c>
      <c r="T339" s="1127" t="s">
        <v>35</v>
      </c>
      <c r="U339" s="1140"/>
      <c r="V339" s="2277"/>
      <c r="W339" s="97" t="s">
        <v>174</v>
      </c>
      <c r="X339" s="51" t="s">
        <v>1337</v>
      </c>
      <c r="Y339" s="660">
        <f>((50*$R$840)+(0.93*$R$839)+$R$841+$T$846)*(1+$T$848)</f>
        <v>0</v>
      </c>
      <c r="Z339" s="2268"/>
      <c r="AA339" s="2270"/>
      <c r="AB339" s="980"/>
      <c r="AC339" s="588"/>
      <c r="AD339" s="1143"/>
      <c r="AE339" s="588"/>
      <c r="AF339" s="1125" t="s">
        <v>174</v>
      </c>
      <c r="AG339" s="97" t="s">
        <v>1337</v>
      </c>
      <c r="AH339" s="660">
        <f>((50*$R$840)+(0.93*$R$839)+$R$841+$T$846)*1.15</f>
        <v>0</v>
      </c>
      <c r="AI339" s="727"/>
      <c r="AJ339" s="727">
        <v>460.75</v>
      </c>
      <c r="AK339" s="727"/>
      <c r="AL339" s="727"/>
      <c r="AM339" s="727"/>
      <c r="AN339" s="727">
        <v>629.95000000000005</v>
      </c>
      <c r="AO339" s="727">
        <v>318.58</v>
      </c>
      <c r="AP339" s="727">
        <v>364.99</v>
      </c>
      <c r="AQ339" s="727"/>
      <c r="AR339" s="727"/>
      <c r="AS339" s="727"/>
      <c r="AT339" s="727"/>
      <c r="AU339" s="727"/>
      <c r="AV339" s="663">
        <f t="shared" si="18"/>
        <v>-443.5675</v>
      </c>
      <c r="AW339" s="1124">
        <f t="shared" si="19"/>
        <v>-1</v>
      </c>
      <c r="AX339" s="673"/>
      <c r="AY339" s="673"/>
      <c r="AZ339" s="673"/>
      <c r="BA339" s="673"/>
      <c r="BB339" s="673"/>
      <c r="BC339" s="673"/>
      <c r="BD339" s="673"/>
      <c r="BE339" s="673"/>
      <c r="BF339" s="673"/>
      <c r="BG339" s="673"/>
    </row>
    <row r="340" spans="1:123" ht="15" customHeight="1">
      <c r="A340" s="2311"/>
      <c r="B340" s="2307" t="s">
        <v>1021</v>
      </c>
      <c r="C340" s="515"/>
      <c r="D340" s="588"/>
      <c r="E340" s="588"/>
      <c r="F340" s="588"/>
      <c r="G340" s="588"/>
      <c r="H340" s="588"/>
      <c r="I340" s="588"/>
      <c r="J340" s="1144"/>
      <c r="K340" s="1145"/>
      <c r="L340" s="1144"/>
      <c r="M340" s="1145"/>
      <c r="N340" s="1146"/>
      <c r="O340" s="1147"/>
      <c r="P340" s="1147"/>
      <c r="Q340" s="1148"/>
      <c r="R340" s="588"/>
      <c r="S340" s="1134" t="s">
        <v>876</v>
      </c>
      <c r="T340" s="1149" t="s">
        <v>877</v>
      </c>
      <c r="U340" s="1120"/>
      <c r="V340" s="2277"/>
      <c r="W340" s="97" t="s">
        <v>175</v>
      </c>
      <c r="X340" s="51" t="s">
        <v>1338</v>
      </c>
      <c r="Y340" s="660">
        <f>((60*$R$840)+(0.89*$R$839)+$R$841+$T$846)*(1+$T$848)</f>
        <v>0</v>
      </c>
      <c r="Z340" s="2267">
        <f>Y341-Y340</f>
        <v>0</v>
      </c>
      <c r="AA340" s="2269">
        <f>(0.92-0.89)*$P$839</f>
        <v>0</v>
      </c>
      <c r="AB340" s="980"/>
      <c r="AC340" s="588"/>
      <c r="AD340" s="1143"/>
      <c r="AE340" s="588"/>
      <c r="AF340" s="1125" t="s">
        <v>174</v>
      </c>
      <c r="AG340" s="97" t="s">
        <v>1339</v>
      </c>
      <c r="AH340" s="660">
        <f>((66*$R$840)+(0.88*$R$839)+$R$841+$T$846)*1.15</f>
        <v>0</v>
      </c>
      <c r="AI340" s="727"/>
      <c r="AJ340" s="727"/>
      <c r="AK340" s="727"/>
      <c r="AL340" s="727"/>
      <c r="AM340" s="727">
        <v>765</v>
      </c>
      <c r="AN340" s="727">
        <v>707.95</v>
      </c>
      <c r="AO340" s="727">
        <v>788.89</v>
      </c>
      <c r="AP340" s="727"/>
      <c r="AQ340" s="727"/>
      <c r="AR340" s="727"/>
      <c r="AS340" s="727"/>
      <c r="AT340" s="727"/>
      <c r="AU340" s="727"/>
      <c r="AV340" s="663">
        <f t="shared" si="18"/>
        <v>-753.94666666666672</v>
      </c>
      <c r="AW340" s="1124">
        <f t="shared" si="19"/>
        <v>-1</v>
      </c>
      <c r="AX340" s="673"/>
      <c r="AY340" s="673"/>
      <c r="AZ340" s="673"/>
      <c r="BA340" s="673"/>
      <c r="BB340" s="673"/>
      <c r="BC340" s="673"/>
      <c r="BD340" s="673"/>
      <c r="BE340" s="673"/>
      <c r="BF340" s="673"/>
      <c r="BG340" s="673"/>
    </row>
    <row r="341" spans="1:123" ht="15" customHeight="1">
      <c r="A341" s="2311"/>
      <c r="B341" s="2308"/>
      <c r="C341" s="515"/>
      <c r="D341" s="588"/>
      <c r="E341" s="588"/>
      <c r="F341" s="588"/>
      <c r="G341" s="588"/>
      <c r="H341" s="588"/>
      <c r="I341" s="588"/>
      <c r="J341" s="1150"/>
      <c r="K341" s="588"/>
      <c r="L341" s="1150"/>
      <c r="M341" s="588"/>
      <c r="N341" s="1146"/>
      <c r="O341" s="1147"/>
      <c r="P341" s="1147"/>
      <c r="Q341" s="1148"/>
      <c r="R341" s="588"/>
      <c r="S341" s="1151">
        <v>0.75454200000000005</v>
      </c>
      <c r="T341" s="1091">
        <v>-8409.6193270000003</v>
      </c>
      <c r="U341" s="1092"/>
      <c r="V341" s="2277"/>
      <c r="W341" s="97" t="s">
        <v>174</v>
      </c>
      <c r="X341" s="51" t="s">
        <v>1340</v>
      </c>
      <c r="Y341" s="660">
        <f>((60*$R$840)+(0.92*$R$839)+$R$841+$T$846)*(1+$T$848)</f>
        <v>0</v>
      </c>
      <c r="Z341" s="2268"/>
      <c r="AA341" s="2270"/>
      <c r="AB341" s="980"/>
      <c r="AC341" s="588"/>
      <c r="AD341" s="1143"/>
      <c r="AE341" s="588"/>
      <c r="AF341" s="1125" t="s">
        <v>174</v>
      </c>
      <c r="AG341" s="97" t="s">
        <v>1341</v>
      </c>
      <c r="AH341" s="660">
        <f>((66*$R$840)+(0.92*$R$839)+$R$841+$T$846)*1.15</f>
        <v>0</v>
      </c>
      <c r="AI341" s="727"/>
      <c r="AJ341" s="727"/>
      <c r="AK341" s="727"/>
      <c r="AL341" s="727"/>
      <c r="AM341" s="727"/>
      <c r="AN341" s="727">
        <v>775.95</v>
      </c>
      <c r="AO341" s="727"/>
      <c r="AP341" s="727">
        <v>629.99</v>
      </c>
      <c r="AQ341" s="727"/>
      <c r="AR341" s="727"/>
      <c r="AS341" s="727"/>
      <c r="AT341" s="727"/>
      <c r="AU341" s="727">
        <v>761.44</v>
      </c>
      <c r="AV341" s="663">
        <f t="shared" si="18"/>
        <v>-722.46</v>
      </c>
      <c r="AW341" s="1124">
        <f t="shared" si="19"/>
        <v>-1</v>
      </c>
      <c r="AX341" s="673"/>
      <c r="AY341" s="673"/>
      <c r="AZ341" s="673"/>
      <c r="BA341" s="673"/>
      <c r="BB341" s="673"/>
      <c r="BC341" s="673"/>
      <c r="BD341" s="673"/>
      <c r="BE341" s="673"/>
      <c r="BF341" s="673"/>
      <c r="BG341" s="673"/>
    </row>
    <row r="342" spans="1:123" ht="15" customHeight="1">
      <c r="A342" s="2311"/>
      <c r="B342" s="2308"/>
      <c r="C342" s="515"/>
      <c r="D342" s="588"/>
      <c r="E342" s="588"/>
      <c r="F342" s="588"/>
      <c r="G342" s="588"/>
      <c r="H342" s="588"/>
      <c r="I342" s="588"/>
      <c r="J342" s="1150"/>
      <c r="K342" s="588"/>
      <c r="L342" s="1150"/>
      <c r="M342" s="588"/>
      <c r="N342" s="1146"/>
      <c r="O342" s="1147"/>
      <c r="P342" s="1147"/>
      <c r="Q342" s="1148"/>
      <c r="R342" s="588"/>
      <c r="S342" s="667" t="s">
        <v>883</v>
      </c>
      <c r="T342" s="499" t="s">
        <v>884</v>
      </c>
      <c r="U342" s="470"/>
      <c r="V342" s="2277"/>
      <c r="W342" s="97" t="s">
        <v>175</v>
      </c>
      <c r="X342" s="51" t="s">
        <v>1342</v>
      </c>
      <c r="Y342" s="660">
        <f>((75*$R$840)+(0.87*$R$839)+$R$841+$T$846)*(1+$T$848)</f>
        <v>0</v>
      </c>
      <c r="Z342" s="2267">
        <f>Y343-Y342</f>
        <v>0</v>
      </c>
      <c r="AA342" s="2267">
        <f>(0.91-0.87)*$P$839</f>
        <v>0</v>
      </c>
      <c r="AB342" s="980"/>
      <c r="AC342" s="588"/>
      <c r="AD342" s="1143"/>
      <c r="AE342" s="588"/>
      <c r="AF342" s="1152"/>
      <c r="AG342" s="588"/>
      <c r="AH342" s="673"/>
      <c r="AI342" s="673"/>
      <c r="AJ342" s="673"/>
      <c r="AK342" s="673"/>
      <c r="AL342" s="673"/>
      <c r="AM342" s="673"/>
      <c r="AN342" s="673"/>
      <c r="AO342" s="673"/>
      <c r="AP342" s="673"/>
      <c r="AQ342" s="673"/>
      <c r="AR342" s="673"/>
      <c r="AS342" s="673"/>
      <c r="AT342" s="673"/>
      <c r="AU342" s="673"/>
      <c r="AV342" s="673"/>
      <c r="AW342" s="673"/>
      <c r="AX342" s="673"/>
      <c r="AY342" s="673"/>
      <c r="AZ342" s="673"/>
      <c r="BA342" s="673"/>
      <c r="BB342" s="673"/>
      <c r="BC342" s="673"/>
      <c r="BD342" s="673"/>
      <c r="BE342" s="673"/>
      <c r="BF342" s="673"/>
      <c r="BG342" s="673"/>
    </row>
    <row r="343" spans="1:123" ht="15.75" customHeight="1" thickBot="1">
      <c r="A343" s="2311"/>
      <c r="B343" s="2309"/>
      <c r="C343" s="515"/>
      <c r="D343" s="588"/>
      <c r="E343" s="588"/>
      <c r="F343" s="588"/>
      <c r="G343" s="588"/>
      <c r="H343" s="588"/>
      <c r="I343" s="588"/>
      <c r="J343" s="1153"/>
      <c r="K343" s="1154"/>
      <c r="L343" s="1153"/>
      <c r="M343" s="1154"/>
      <c r="N343" s="1146"/>
      <c r="O343" s="1147"/>
      <c r="P343" s="1147"/>
      <c r="Q343" s="1148"/>
      <c r="R343" s="588"/>
      <c r="S343" s="668">
        <v>71.263999999999996</v>
      </c>
      <c r="T343" s="970">
        <v>0.15</v>
      </c>
      <c r="U343" s="603"/>
      <c r="V343" s="2278"/>
      <c r="W343" s="97" t="s">
        <v>174</v>
      </c>
      <c r="X343" s="51" t="s">
        <v>1343</v>
      </c>
      <c r="Y343" s="660">
        <f>((75*$R$840)+(0.91*$R$839)+$R$841+$T$846)*(1+$T$848)</f>
        <v>0</v>
      </c>
      <c r="Z343" s="2268"/>
      <c r="AA343" s="2268"/>
      <c r="AB343" s="980"/>
      <c r="AC343" s="588"/>
      <c r="AD343" s="1155"/>
      <c r="AE343" s="1154"/>
      <c r="AF343" s="1152"/>
      <c r="AG343" s="588"/>
      <c r="AH343" s="673"/>
      <c r="AI343" s="673"/>
      <c r="AJ343" s="673"/>
      <c r="AK343" s="673"/>
      <c r="AL343" s="673"/>
      <c r="AM343" s="673"/>
      <c r="AN343" s="673"/>
      <c r="AO343" s="673"/>
      <c r="AP343" s="673"/>
      <c r="AQ343" s="673"/>
      <c r="AR343" s="673"/>
      <c r="AS343" s="673"/>
      <c r="AT343" s="673"/>
      <c r="AU343" s="673"/>
      <c r="AV343" s="673"/>
      <c r="AW343" s="673"/>
      <c r="AX343" s="673"/>
      <c r="AY343" s="673"/>
      <c r="AZ343" s="673"/>
      <c r="BA343" s="673"/>
      <c r="BB343" s="673"/>
      <c r="BC343" s="673"/>
      <c r="BD343" s="673"/>
      <c r="BE343" s="673"/>
      <c r="BF343" s="673"/>
      <c r="BG343" s="673"/>
    </row>
    <row r="344" spans="1:123" s="626" customFormat="1" ht="9" customHeight="1" thickBot="1">
      <c r="A344" s="540"/>
      <c r="B344" s="541"/>
      <c r="C344" s="444"/>
      <c r="D344" s="445"/>
      <c r="E344" s="445"/>
      <c r="F344" s="445"/>
      <c r="G344" s="445"/>
      <c r="H344" s="445"/>
      <c r="I344" s="445"/>
      <c r="J344" s="446"/>
      <c r="K344" s="445"/>
      <c r="L344" s="446"/>
      <c r="M344" s="447"/>
      <c r="N344" s="448"/>
      <c r="O344" s="449"/>
      <c r="P344" s="449"/>
      <c r="Q344" s="450"/>
      <c r="R344" s="450"/>
      <c r="S344" s="451"/>
      <c r="T344" s="451"/>
      <c r="U344" s="452"/>
      <c r="V344" s="453"/>
      <c r="W344" s="447"/>
      <c r="X344" s="447"/>
      <c r="Y344" s="447"/>
      <c r="Z344" s="447"/>
      <c r="AA344" s="447"/>
      <c r="AB344" s="891"/>
      <c r="AC344" s="447"/>
      <c r="AD344" s="447"/>
      <c r="AE344" s="447"/>
      <c r="AF344" s="455"/>
      <c r="AG344" s="447"/>
      <c r="AH344" s="456"/>
      <c r="AI344" s="456"/>
      <c r="AJ344" s="456"/>
      <c r="AK344" s="456"/>
      <c r="AL344" s="456"/>
      <c r="AM344" s="456"/>
      <c r="AN344" s="456"/>
      <c r="AO344" s="456"/>
      <c r="AP344" s="456"/>
      <c r="AQ344" s="456"/>
      <c r="AR344" s="456"/>
      <c r="AS344" s="456"/>
      <c r="AT344" s="456"/>
      <c r="AU344" s="456"/>
      <c r="AV344" s="456" t="s">
        <v>1023</v>
      </c>
      <c r="AW344" s="456" t="s">
        <v>1157</v>
      </c>
      <c r="AX344" s="456"/>
      <c r="AY344" s="653"/>
      <c r="AZ344" s="653"/>
      <c r="BA344" s="653"/>
      <c r="BB344" s="653"/>
      <c r="BC344" s="653"/>
      <c r="BD344" s="653"/>
      <c r="BE344" s="653"/>
      <c r="BF344" s="653"/>
      <c r="BG344" s="653"/>
      <c r="BH344" s="432"/>
      <c r="CF344" s="542"/>
      <c r="CG344" s="542"/>
      <c r="CH344" s="542"/>
      <c r="CI344" s="542"/>
      <c r="CJ344" s="542"/>
      <c r="CK344" s="542"/>
      <c r="CL344" s="542"/>
      <c r="CM344" s="542"/>
      <c r="CN344" s="542"/>
      <c r="CO344" s="542"/>
      <c r="CP344" s="542"/>
      <c r="CQ344" s="542"/>
      <c r="CR344" s="542"/>
      <c r="CS344" s="542"/>
      <c r="CT344" s="542"/>
      <c r="CU344" s="542"/>
      <c r="CV344" s="542"/>
      <c r="CW344" s="542"/>
      <c r="CX344" s="542"/>
      <c r="CY344" s="542"/>
      <c r="CZ344" s="542"/>
      <c r="DA344" s="542"/>
      <c r="DB344" s="542"/>
      <c r="DC344" s="542"/>
      <c r="DD344" s="542"/>
      <c r="DE344" s="542"/>
      <c r="DF344" s="542"/>
      <c r="DG344" s="542"/>
      <c r="DH344" s="542"/>
      <c r="DI344" s="543"/>
      <c r="DJ344" s="542"/>
      <c r="DK344" s="542"/>
      <c r="DL344" s="542"/>
      <c r="DM344" s="542"/>
      <c r="DN344" s="542"/>
      <c r="DO344" s="542"/>
      <c r="DP344" s="542"/>
      <c r="DQ344" s="542"/>
      <c r="DR344" s="542"/>
      <c r="DS344" s="542"/>
    </row>
    <row r="345" spans="1:123" ht="15" customHeight="1">
      <c r="A345" s="2310" t="s">
        <v>1344</v>
      </c>
      <c r="B345" s="566" t="s">
        <v>1291</v>
      </c>
      <c r="C345" s="567" t="s">
        <v>853</v>
      </c>
      <c r="D345" s="748" t="s">
        <v>1345</v>
      </c>
      <c r="E345" s="954">
        <v>32</v>
      </c>
      <c r="F345" s="715">
        <v>87.88</v>
      </c>
      <c r="G345" s="715">
        <v>4.67</v>
      </c>
      <c r="H345" s="716">
        <v>916.82</v>
      </c>
      <c r="I345" s="955">
        <v>226.77</v>
      </c>
      <c r="J345" s="573" t="s">
        <v>855</v>
      </c>
      <c r="K345" s="574" t="s">
        <v>1346</v>
      </c>
      <c r="L345" s="573" t="s">
        <v>855</v>
      </c>
      <c r="M345" s="574" t="s">
        <v>1347</v>
      </c>
      <c r="N345" s="482">
        <v>13.98</v>
      </c>
      <c r="O345" s="497">
        <v>2.97</v>
      </c>
      <c r="P345" s="497">
        <v>4.71</v>
      </c>
      <c r="Q345" s="485" t="s">
        <v>35</v>
      </c>
      <c r="R345" s="519">
        <f>N345</f>
        <v>13.98</v>
      </c>
      <c r="S345" s="667" t="s">
        <v>841</v>
      </c>
      <c r="T345" s="637" t="s">
        <v>842</v>
      </c>
      <c r="U345" s="560"/>
      <c r="V345" s="2332" t="s">
        <v>843</v>
      </c>
      <c r="W345" s="92" t="s">
        <v>175</v>
      </c>
      <c r="X345" s="92" t="s">
        <v>1295</v>
      </c>
      <c r="Y345" s="1156">
        <f>Y317</f>
        <v>565.0487816359996</v>
      </c>
      <c r="Z345" s="660" t="s">
        <v>918</v>
      </c>
      <c r="AA345" s="1157"/>
      <c r="AB345" s="978"/>
      <c r="AC345" s="723"/>
      <c r="AD345" s="2271" t="s">
        <v>846</v>
      </c>
      <c r="AE345" s="2272"/>
      <c r="AF345" s="724" t="s">
        <v>0</v>
      </c>
      <c r="AG345" s="40" t="s">
        <v>1348</v>
      </c>
      <c r="AH345" s="726">
        <f>Y346</f>
        <v>593.30390625000007</v>
      </c>
      <c r="AI345" s="727">
        <v>549</v>
      </c>
      <c r="AJ345" s="727"/>
      <c r="AK345" s="727"/>
      <c r="AL345" s="727"/>
      <c r="AM345" s="727">
        <v>574.4</v>
      </c>
      <c r="AN345" s="727">
        <v>584.99</v>
      </c>
      <c r="AO345" s="727"/>
      <c r="AP345" s="727"/>
      <c r="AQ345" s="727"/>
      <c r="AR345" s="727">
        <v>584.99</v>
      </c>
      <c r="AS345" s="727"/>
      <c r="AT345" s="727"/>
      <c r="AU345" s="727"/>
      <c r="AV345" s="727"/>
      <c r="AW345" s="727"/>
      <c r="AX345" s="728"/>
      <c r="AY345" s="663">
        <f t="shared" ref="AY345:AY350" si="20">AH345-AVERAGE(AI345:AX345)</f>
        <v>19.958906250000041</v>
      </c>
      <c r="AZ345" s="1124">
        <f>AY345/AVERAGE(AI345:AX345)</f>
        <v>3.4811337414645704E-2</v>
      </c>
      <c r="BA345" s="477"/>
      <c r="BB345" s="477"/>
      <c r="BC345" s="663"/>
      <c r="BD345" s="663"/>
      <c r="BE345" s="663"/>
      <c r="BF345" s="663"/>
      <c r="BG345" s="663"/>
    </row>
    <row r="346" spans="1:123" ht="15" customHeight="1">
      <c r="A346" s="2311"/>
      <c r="B346" s="566" t="s">
        <v>1349</v>
      </c>
      <c r="C346" s="567" t="s">
        <v>853</v>
      </c>
      <c r="D346" s="748" t="s">
        <v>1350</v>
      </c>
      <c r="E346" s="954">
        <v>32</v>
      </c>
      <c r="F346" s="715">
        <v>184.99</v>
      </c>
      <c r="G346" s="715">
        <v>31.84</v>
      </c>
      <c r="H346" s="716">
        <v>916.82</v>
      </c>
      <c r="I346" s="955">
        <v>226.77</v>
      </c>
      <c r="J346" s="573" t="s">
        <v>35</v>
      </c>
      <c r="K346" s="574" t="s">
        <v>35</v>
      </c>
      <c r="L346" s="573" t="s">
        <v>855</v>
      </c>
      <c r="M346" s="1158" t="s">
        <v>1351</v>
      </c>
      <c r="N346" s="482">
        <v>5.55</v>
      </c>
      <c r="O346" s="497">
        <v>8.4700000000000006</v>
      </c>
      <c r="P346" s="497">
        <v>0.65500000000000003</v>
      </c>
      <c r="Q346" s="485" t="s">
        <v>35</v>
      </c>
      <c r="R346" s="519">
        <f>N346</f>
        <v>5.55</v>
      </c>
      <c r="S346" s="487" t="s">
        <v>1352</v>
      </c>
      <c r="T346" s="488" t="s">
        <v>1014</v>
      </c>
      <c r="U346" s="452"/>
      <c r="V346" s="2333"/>
      <c r="W346" s="92" t="s">
        <v>174</v>
      </c>
      <c r="X346" s="40" t="s">
        <v>1348</v>
      </c>
      <c r="Y346" s="563">
        <f>((82*$R$345)+(120*$R$346)+$R$347+$T$352)*(1+$T$354)</f>
        <v>593.30390625000007</v>
      </c>
      <c r="Z346" s="563">
        <f>Y346-$Y$345</f>
        <v>28.255124614000465</v>
      </c>
      <c r="AA346" s="682">
        <f>(88.09/H345)*Y346</f>
        <v>57.005891125370859</v>
      </c>
      <c r="AB346" s="722"/>
      <c r="AC346" s="740"/>
      <c r="AD346" s="490" t="s">
        <v>795</v>
      </c>
      <c r="AE346" s="968">
        <f>AVERAGE($AZ$345:$AZ$350)</f>
        <v>1.1034295015427556E-2</v>
      </c>
      <c r="AF346" s="724" t="s">
        <v>0</v>
      </c>
      <c r="AG346" s="40" t="s">
        <v>1353</v>
      </c>
      <c r="AH346" s="726">
        <f>Y347</f>
        <v>1166.8289062500005</v>
      </c>
      <c r="AI346" s="727"/>
      <c r="AJ346" s="727">
        <v>1217.32</v>
      </c>
      <c r="AK346" s="727">
        <v>1124.95</v>
      </c>
      <c r="AL346" s="727"/>
      <c r="AM346" s="727"/>
      <c r="AN346" s="727">
        <v>1123.95</v>
      </c>
      <c r="AO346" s="727"/>
      <c r="AP346" s="727"/>
      <c r="AQ346" s="727"/>
      <c r="AR346" s="727"/>
      <c r="AS346" s="727"/>
      <c r="AT346" s="727">
        <v>1217.32</v>
      </c>
      <c r="AU346" s="727"/>
      <c r="AV346" s="727"/>
      <c r="AW346" s="727"/>
      <c r="AX346" s="728"/>
      <c r="AY346" s="663">
        <f t="shared" si="20"/>
        <v>-4.0560937499994907</v>
      </c>
      <c r="AZ346" s="1124">
        <f t="shared" ref="AZ346:AZ350" si="21">AY346/AVERAGE(AI346:AX346)</f>
        <v>-3.4641264940617486E-3</v>
      </c>
      <c r="BA346" s="477"/>
      <c r="BB346" s="477"/>
      <c r="BC346" s="663"/>
      <c r="BD346" s="663"/>
      <c r="BE346" s="663"/>
      <c r="BF346" s="663"/>
      <c r="BG346" s="663"/>
    </row>
    <row r="347" spans="1:123" ht="15" customHeight="1">
      <c r="A347" s="2311"/>
      <c r="B347" s="2335" t="s">
        <v>1354</v>
      </c>
      <c r="C347" s="2287" t="s">
        <v>839</v>
      </c>
      <c r="D347" s="748" t="s">
        <v>840</v>
      </c>
      <c r="E347" s="954">
        <v>10</v>
      </c>
      <c r="F347" s="501" t="s">
        <v>35</v>
      </c>
      <c r="G347" s="501" t="s">
        <v>35</v>
      </c>
      <c r="H347" s="716">
        <v>863.7</v>
      </c>
      <c r="I347" s="955">
        <v>178.16</v>
      </c>
      <c r="J347" s="573" t="s">
        <v>35</v>
      </c>
      <c r="K347" s="574" t="s">
        <v>35</v>
      </c>
      <c r="L347" s="573" t="s">
        <v>35</v>
      </c>
      <c r="M347" s="574" t="s">
        <v>35</v>
      </c>
      <c r="N347" s="482">
        <v>-119.99</v>
      </c>
      <c r="O347" s="497">
        <v>-2.6</v>
      </c>
      <c r="P347" s="497">
        <v>46.15</v>
      </c>
      <c r="Q347" s="684">
        <f>10/32</f>
        <v>0.3125</v>
      </c>
      <c r="R347" s="2305">
        <f>SUMPRODUCT(N347:N348,Q347:Q348)</f>
        <v>-37.496874999999996</v>
      </c>
      <c r="S347" s="667" t="s">
        <v>858</v>
      </c>
      <c r="T347" s="499" t="s">
        <v>859</v>
      </c>
      <c r="U347" s="470"/>
      <c r="V347" s="2333"/>
      <c r="W347" s="92" t="s">
        <v>174</v>
      </c>
      <c r="X347" s="40" t="s">
        <v>1353</v>
      </c>
      <c r="Y347" s="563">
        <f>((91*$R$345)+(180*$R$346)+$R$347+$T$352)*(1+$T$354)</f>
        <v>1166.8289062500005</v>
      </c>
      <c r="Z347" s="563">
        <f>Y347-$Y$345</f>
        <v>601.7801246140009</v>
      </c>
      <c r="AA347" s="682">
        <f>(88.09/H345)*Y347</f>
        <v>112.11138320669548</v>
      </c>
      <c r="AB347" s="722"/>
      <c r="AC347" s="740"/>
      <c r="AD347" s="490" t="s">
        <v>874</v>
      </c>
      <c r="AE347" s="968">
        <f>STDEV($AZ$345:$AZ$350)</f>
        <v>0.21822645967944085</v>
      </c>
      <c r="AF347" s="724" t="s">
        <v>0</v>
      </c>
      <c r="AG347" s="40" t="s">
        <v>1355</v>
      </c>
      <c r="AH347" s="726">
        <f>Y348</f>
        <v>993.65390625000055</v>
      </c>
      <c r="AI347" s="727"/>
      <c r="AJ347" s="727">
        <v>1356.47</v>
      </c>
      <c r="AK347" s="727"/>
      <c r="AL347" s="727"/>
      <c r="AM347" s="727"/>
      <c r="AN347" s="727"/>
      <c r="AO347" s="727">
        <v>1356.55</v>
      </c>
      <c r="AP347" s="727">
        <v>1378.61</v>
      </c>
      <c r="AQ347" s="727"/>
      <c r="AR347" s="727"/>
      <c r="AS347" s="727"/>
      <c r="AT347" s="727"/>
      <c r="AU347" s="727">
        <v>1347.46</v>
      </c>
      <c r="AV347" s="727"/>
      <c r="AW347" s="727"/>
      <c r="AX347" s="728"/>
      <c r="AY347" s="663">
        <f t="shared" si="20"/>
        <v>-366.11859374999949</v>
      </c>
      <c r="AZ347" s="1124">
        <f t="shared" si="21"/>
        <v>-0.26924988830852181</v>
      </c>
      <c r="BA347" s="477"/>
      <c r="BB347" s="477"/>
      <c r="BC347" s="663"/>
      <c r="BD347" s="663"/>
      <c r="BE347" s="663"/>
      <c r="BF347" s="663"/>
      <c r="BG347" s="663"/>
    </row>
    <row r="348" spans="1:123" ht="15" customHeight="1">
      <c r="A348" s="2311"/>
      <c r="B348" s="2298"/>
      <c r="C348" s="2299"/>
      <c r="D348" s="748" t="s">
        <v>64</v>
      </c>
      <c r="E348" s="954">
        <v>22</v>
      </c>
      <c r="F348" s="501" t="s">
        <v>35</v>
      </c>
      <c r="G348" s="501" t="s">
        <v>35</v>
      </c>
      <c r="H348" s="716">
        <v>940.95</v>
      </c>
      <c r="I348" s="955">
        <v>245.67</v>
      </c>
      <c r="J348" s="573" t="s">
        <v>35</v>
      </c>
      <c r="K348" s="574" t="s">
        <v>35</v>
      </c>
      <c r="L348" s="573" t="s">
        <v>35</v>
      </c>
      <c r="M348" s="574" t="s">
        <v>35</v>
      </c>
      <c r="N348" s="482">
        <v>0</v>
      </c>
      <c r="O348" s="773" t="s">
        <v>847</v>
      </c>
      <c r="P348" s="776" t="s">
        <v>847</v>
      </c>
      <c r="Q348" s="684">
        <f>22/32</f>
        <v>0.6875</v>
      </c>
      <c r="R348" s="2306"/>
      <c r="S348" s="748" t="s">
        <v>310</v>
      </c>
      <c r="T348" s="749" t="s">
        <v>1019</v>
      </c>
      <c r="U348" s="591"/>
      <c r="V348" s="2333"/>
      <c r="W348" s="92" t="s">
        <v>174</v>
      </c>
      <c r="X348" s="40" t="s">
        <v>1355</v>
      </c>
      <c r="Y348" s="563">
        <f>((93*$R$345)+(150*$R$346)+$R$347+$T$352)*(1+$T$354)</f>
        <v>993.65390625000055</v>
      </c>
      <c r="Z348" s="563">
        <f>Y348-$Y$345</f>
        <v>428.60512461400094</v>
      </c>
      <c r="AA348" s="682">
        <f>88.09/H345*Y348</f>
        <v>95.472363824483054</v>
      </c>
      <c r="AB348" s="722"/>
      <c r="AC348" s="740"/>
      <c r="AD348" s="490" t="s">
        <v>977</v>
      </c>
      <c r="AE348" s="968">
        <f>MIN($AZ$344:$AZ$350)</f>
        <v>-0.26924988830852181</v>
      </c>
      <c r="AF348" s="724" t="s">
        <v>0</v>
      </c>
      <c r="AG348" s="40" t="s">
        <v>1356</v>
      </c>
      <c r="AH348" s="726">
        <f>Y350</f>
        <v>1148.3039062500004</v>
      </c>
      <c r="AI348" s="727"/>
      <c r="AJ348" s="727"/>
      <c r="AK348" s="727"/>
      <c r="AL348" s="727">
        <v>1240.95</v>
      </c>
      <c r="AM348" s="727"/>
      <c r="AN348" s="727"/>
      <c r="AO348" s="727"/>
      <c r="AP348" s="727">
        <v>1115.27</v>
      </c>
      <c r="AQ348" s="727"/>
      <c r="AR348" s="727"/>
      <c r="AS348" s="727">
        <v>1060.8699999999999</v>
      </c>
      <c r="AT348" s="727"/>
      <c r="AU348" s="727"/>
      <c r="AV348" s="727">
        <v>1189</v>
      </c>
      <c r="AW348" s="727"/>
      <c r="AX348" s="728"/>
      <c r="AY348" s="663">
        <f t="shared" si="20"/>
        <v>-3.2185937499996271</v>
      </c>
      <c r="AZ348" s="1124">
        <f t="shared" si="21"/>
        <v>-2.7950767353652466E-3</v>
      </c>
      <c r="BA348" s="477"/>
      <c r="BB348" s="477"/>
      <c r="BC348" s="663"/>
      <c r="BD348" s="663"/>
      <c r="BE348" s="663"/>
      <c r="BF348" s="663"/>
      <c r="BG348" s="663"/>
    </row>
    <row r="349" spans="1:123" ht="15" customHeight="1">
      <c r="A349" s="2311"/>
      <c r="B349" s="2307" t="s">
        <v>1021</v>
      </c>
      <c r="C349" s="515"/>
      <c r="D349" s="525"/>
      <c r="E349" s="525"/>
      <c r="F349" s="525"/>
      <c r="G349" s="525"/>
      <c r="H349" s="525"/>
      <c r="I349" s="525"/>
      <c r="J349" s="757"/>
      <c r="K349" s="525"/>
      <c r="L349" s="757"/>
      <c r="M349" s="525"/>
      <c r="N349" s="758"/>
      <c r="O349" s="759"/>
      <c r="P349" s="759"/>
      <c r="Q349" s="605"/>
      <c r="R349" s="605"/>
      <c r="S349" s="667" t="s">
        <v>868</v>
      </c>
      <c r="T349" s="637" t="s">
        <v>869</v>
      </c>
      <c r="U349" s="560"/>
      <c r="V349" s="2333"/>
      <c r="W349" s="92" t="s">
        <v>175</v>
      </c>
      <c r="X349" s="92" t="s">
        <v>1310</v>
      </c>
      <c r="Y349" s="1156">
        <f>Y329</f>
        <v>769.07880686199974</v>
      </c>
      <c r="Z349" s="660" t="s">
        <v>918</v>
      </c>
      <c r="AA349" s="682"/>
      <c r="AB349" s="722"/>
      <c r="AC349" s="740"/>
      <c r="AD349" s="490" t="s">
        <v>978</v>
      </c>
      <c r="AE349" s="968">
        <f>MAX($AZ$345:$AZ$350)</f>
        <v>0.39637401483389051</v>
      </c>
      <c r="AF349" s="724" t="s">
        <v>0</v>
      </c>
      <c r="AG349" s="40" t="s">
        <v>1357</v>
      </c>
      <c r="AH349" s="726">
        <f t="shared" ref="AH349:AH350" si="22">Y351</f>
        <v>1530.1289062499998</v>
      </c>
      <c r="AI349" s="727"/>
      <c r="AJ349" s="727">
        <v>1706.11</v>
      </c>
      <c r="AK349" s="727"/>
      <c r="AL349" s="727">
        <v>1678.95</v>
      </c>
      <c r="AM349" s="727"/>
      <c r="AN349" s="727"/>
      <c r="AO349" s="727"/>
      <c r="AP349" s="727"/>
      <c r="AQ349" s="727">
        <v>1657.99</v>
      </c>
      <c r="AR349" s="727"/>
      <c r="AS349" s="727"/>
      <c r="AT349" s="727"/>
      <c r="AU349" s="727"/>
      <c r="AV349" s="727"/>
      <c r="AW349" s="727">
        <v>1678.88</v>
      </c>
      <c r="AX349" s="728"/>
      <c r="AY349" s="663">
        <f t="shared" si="20"/>
        <v>-150.3535937500003</v>
      </c>
      <c r="AZ349" s="1124">
        <f t="shared" si="21"/>
        <v>-8.9470490618022078E-2</v>
      </c>
      <c r="BA349" s="477"/>
      <c r="BB349" s="477"/>
      <c r="BC349" s="663"/>
      <c r="BD349" s="663"/>
      <c r="BE349" s="663"/>
      <c r="BF349" s="663"/>
      <c r="BG349" s="663"/>
    </row>
    <row r="350" spans="1:123" ht="15" customHeight="1">
      <c r="A350" s="2311"/>
      <c r="B350" s="2308"/>
      <c r="C350" s="515"/>
      <c r="D350" s="525"/>
      <c r="E350" s="525"/>
      <c r="F350" s="525"/>
      <c r="G350" s="525"/>
      <c r="H350" s="525"/>
      <c r="I350" s="525"/>
      <c r="J350" s="757"/>
      <c r="K350" s="525"/>
      <c r="L350" s="757"/>
      <c r="M350" s="525"/>
      <c r="N350" s="758"/>
      <c r="O350" s="759"/>
      <c r="P350" s="759"/>
      <c r="Q350" s="605"/>
      <c r="R350" s="605"/>
      <c r="S350" s="564">
        <v>32</v>
      </c>
      <c r="T350" s="488" t="s">
        <v>35</v>
      </c>
      <c r="U350" s="452"/>
      <c r="V350" s="2333"/>
      <c r="W350" s="92" t="s">
        <v>174</v>
      </c>
      <c r="X350" s="40" t="s">
        <v>1356</v>
      </c>
      <c r="Y350" s="563">
        <f>((82*$R$345)+(200*$R$346)+$R$347+$T$352)*(1+$T$354)</f>
        <v>1148.3039062500004</v>
      </c>
      <c r="Z350" s="563">
        <f>Y350-$Y$349</f>
        <v>379.22509938800067</v>
      </c>
      <c r="AA350" s="682">
        <f>88.09/H345*Y350</f>
        <v>110.33146212076802</v>
      </c>
      <c r="AB350" s="722"/>
      <c r="AC350" s="525"/>
      <c r="AD350" s="520"/>
      <c r="AE350" s="521"/>
      <c r="AF350" s="756" t="s">
        <v>0</v>
      </c>
      <c r="AG350" s="707" t="s">
        <v>1358</v>
      </c>
      <c r="AH350" s="726">
        <f t="shared" si="22"/>
        <v>1323.05390625</v>
      </c>
      <c r="AI350" s="727">
        <v>945</v>
      </c>
      <c r="AJ350" s="727">
        <v>955</v>
      </c>
      <c r="AK350" s="727"/>
      <c r="AL350" s="727"/>
      <c r="AM350" s="727"/>
      <c r="AN350" s="727"/>
      <c r="AO350" s="727"/>
      <c r="AP350" s="727"/>
      <c r="AQ350" s="727"/>
      <c r="AR350" s="727">
        <v>989.99</v>
      </c>
      <c r="AS350" s="727"/>
      <c r="AT350" s="727"/>
      <c r="AU350" s="727"/>
      <c r="AV350" s="727"/>
      <c r="AW350" s="727"/>
      <c r="AX350" s="728">
        <v>899.98</v>
      </c>
      <c r="AY350" s="663">
        <f t="shared" si="20"/>
        <v>375.56140625</v>
      </c>
      <c r="AZ350" s="1124">
        <f t="shared" si="21"/>
        <v>0.39637401483389051</v>
      </c>
      <c r="BA350" s="477"/>
      <c r="BB350" s="477"/>
      <c r="BC350" s="663"/>
      <c r="BD350" s="663"/>
      <c r="BE350" s="663"/>
      <c r="BF350" s="663"/>
      <c r="BG350" s="663"/>
    </row>
    <row r="351" spans="1:123" ht="15" customHeight="1">
      <c r="A351" s="2311"/>
      <c r="B351" s="2308"/>
      <c r="C351" s="515"/>
      <c r="D351" s="525"/>
      <c r="E351" s="525"/>
      <c r="F351" s="525"/>
      <c r="G351" s="525"/>
      <c r="H351" s="525"/>
      <c r="I351" s="525"/>
      <c r="J351" s="757"/>
      <c r="K351" s="525"/>
      <c r="L351" s="757"/>
      <c r="M351" s="525"/>
      <c r="N351" s="758"/>
      <c r="O351" s="759"/>
      <c r="P351" s="759"/>
      <c r="Q351" s="605"/>
      <c r="R351" s="605"/>
      <c r="S351" s="667" t="s">
        <v>876</v>
      </c>
      <c r="T351" s="637" t="s">
        <v>877</v>
      </c>
      <c r="U351" s="560"/>
      <c r="V351" s="2333"/>
      <c r="W351" s="92" t="s">
        <v>174</v>
      </c>
      <c r="X351" s="40" t="s">
        <v>1357</v>
      </c>
      <c r="Y351" s="563">
        <f>((84*$R$345)+(250*$R$346)+$R$347+$T$352)*(1+$T$354)</f>
        <v>1530.1289062499998</v>
      </c>
      <c r="Z351" s="563">
        <f>Y351-$Y$349</f>
        <v>761.05009938800004</v>
      </c>
      <c r="AA351" s="682">
        <f>88.09/H345*Y351</f>
        <v>147.01801373395267</v>
      </c>
      <c r="AB351" s="722"/>
      <c r="AC351" s="525"/>
      <c r="AD351" s="524"/>
      <c r="AE351" s="525"/>
      <c r="AF351" s="750"/>
      <c r="AG351" s="521"/>
      <c r="AH351" s="761"/>
      <c r="AI351" s="761"/>
      <c r="AJ351" s="761"/>
      <c r="AK351" s="761"/>
      <c r="AL351" s="761"/>
      <c r="AM351" s="761"/>
      <c r="AN351" s="761"/>
      <c r="AO351" s="761"/>
      <c r="AP351" s="761"/>
      <c r="AQ351" s="761"/>
      <c r="AR351" s="761"/>
      <c r="AS351" s="761"/>
      <c r="AT351" s="761"/>
      <c r="AU351" s="761"/>
      <c r="AV351" s="761"/>
      <c r="AW351" s="761"/>
      <c r="AX351" s="761"/>
      <c r="AY351" s="477"/>
      <c r="AZ351" s="477"/>
      <c r="BA351" s="477"/>
      <c r="BB351" s="477"/>
      <c r="BC351" s="477"/>
      <c r="BD351" s="477"/>
      <c r="BE351" s="477"/>
      <c r="BF351" s="477"/>
      <c r="BG351" s="477"/>
    </row>
    <row r="352" spans="1:123" ht="15" customHeight="1">
      <c r="A352" s="2311"/>
      <c r="B352" s="2308"/>
      <c r="C352" s="515"/>
      <c r="D352" s="525"/>
      <c r="E352" s="525"/>
      <c r="F352" s="525"/>
      <c r="G352" s="525"/>
      <c r="H352" s="525"/>
      <c r="I352" s="525"/>
      <c r="J352" s="757"/>
      <c r="K352" s="525"/>
      <c r="L352" s="757"/>
      <c r="M352" s="525"/>
      <c r="N352" s="758"/>
      <c r="O352" s="759"/>
      <c r="P352" s="759"/>
      <c r="Q352" s="605"/>
      <c r="R352" s="605"/>
      <c r="S352" s="487">
        <v>0.76800000000000002</v>
      </c>
      <c r="T352" s="488">
        <v>-1300.22</v>
      </c>
      <c r="U352" s="452"/>
      <c r="V352" s="2334"/>
      <c r="W352" s="745" t="s">
        <v>174</v>
      </c>
      <c r="X352" s="707" t="s">
        <v>1358</v>
      </c>
      <c r="Y352" s="563">
        <f>((92*$R$345)+(200*$R$346)+$R$347+$T$352)*(1+$T$354)</f>
        <v>1323.05390625</v>
      </c>
      <c r="Z352" s="826">
        <f>Y352-$Y$349</f>
        <v>553.97509938800022</v>
      </c>
      <c r="AA352" s="760">
        <f>88.09/H345*Y352</f>
        <v>127.12181082607546</v>
      </c>
      <c r="AB352" s="722"/>
      <c r="AC352" s="525"/>
      <c r="AD352" s="524"/>
      <c r="AE352" s="525"/>
      <c r="AF352" s="757"/>
      <c r="AG352" s="525"/>
      <c r="AH352" s="477"/>
      <c r="AI352" s="477"/>
      <c r="AJ352" s="477"/>
      <c r="AK352" s="477"/>
      <c r="AL352" s="477"/>
      <c r="AM352" s="477"/>
      <c r="AN352" s="477"/>
      <c r="AO352" s="477"/>
      <c r="AP352" s="477"/>
      <c r="AQ352" s="477"/>
      <c r="AR352" s="477"/>
      <c r="AS352" s="477"/>
      <c r="AT352" s="477"/>
      <c r="AU352" s="477"/>
      <c r="AV352" s="477"/>
      <c r="AW352" s="477"/>
      <c r="AX352" s="477"/>
      <c r="AY352" s="477"/>
      <c r="AZ352" s="477"/>
      <c r="BA352" s="477"/>
      <c r="BB352" s="477"/>
      <c r="BC352" s="477"/>
      <c r="BD352" s="477"/>
      <c r="BE352" s="477"/>
      <c r="BF352" s="477"/>
      <c r="BG352" s="477"/>
    </row>
    <row r="353" spans="1:123" ht="18.75" customHeight="1">
      <c r="A353" s="780"/>
      <c r="B353" s="2308"/>
      <c r="C353" s="515"/>
      <c r="D353" s="525"/>
      <c r="E353" s="525"/>
      <c r="F353" s="525"/>
      <c r="G353" s="525"/>
      <c r="H353" s="525"/>
      <c r="I353" s="525"/>
      <c r="J353" s="757"/>
      <c r="K353" s="525"/>
      <c r="L353" s="757"/>
      <c r="M353" s="525"/>
      <c r="N353" s="758"/>
      <c r="O353" s="759"/>
      <c r="P353" s="759"/>
      <c r="Q353" s="605"/>
      <c r="R353" s="605"/>
      <c r="S353" s="667" t="s">
        <v>883</v>
      </c>
      <c r="T353" s="499" t="s">
        <v>884</v>
      </c>
      <c r="U353" s="470"/>
      <c r="V353" s="650"/>
      <c r="W353" s="522"/>
      <c r="X353" s="522"/>
      <c r="Y353" s="522"/>
      <c r="Z353" s="522"/>
      <c r="AA353" s="522"/>
      <c r="AB353" s="454"/>
      <c r="AC353" s="525"/>
      <c r="AD353" s="524"/>
      <c r="AE353" s="525"/>
      <c r="AF353" s="757"/>
      <c r="AG353" s="525"/>
      <c r="AH353" s="477"/>
      <c r="AI353" s="477"/>
      <c r="AJ353" s="477"/>
      <c r="AK353" s="477"/>
      <c r="AL353" s="477"/>
      <c r="AM353" s="477"/>
      <c r="AN353" s="477"/>
      <c r="AO353" s="477"/>
      <c r="AP353" s="477"/>
      <c r="AQ353" s="477"/>
      <c r="AR353" s="477"/>
      <c r="AS353" s="477"/>
      <c r="AT353" s="477"/>
      <c r="AU353" s="477"/>
      <c r="AV353" s="477"/>
      <c r="AW353" s="477"/>
      <c r="AX353" s="477"/>
      <c r="AY353" s="477"/>
      <c r="AZ353" s="477"/>
      <c r="BA353" s="477"/>
      <c r="BB353" s="477"/>
      <c r="BC353" s="477"/>
      <c r="BD353" s="477"/>
      <c r="BE353" s="477"/>
      <c r="BF353" s="477"/>
      <c r="BG353" s="477"/>
    </row>
    <row r="354" spans="1:123" ht="19.5" customHeight="1" thickBot="1">
      <c r="A354" s="780"/>
      <c r="B354" s="2331"/>
      <c r="C354" s="515"/>
      <c r="D354" s="525"/>
      <c r="E354" s="525"/>
      <c r="F354" s="525"/>
      <c r="G354" s="525"/>
      <c r="H354" s="525"/>
      <c r="I354" s="525"/>
      <c r="J354" s="757"/>
      <c r="K354" s="525"/>
      <c r="L354" s="757"/>
      <c r="M354" s="525"/>
      <c r="N354" s="758"/>
      <c r="O354" s="759"/>
      <c r="P354" s="759"/>
      <c r="Q354" s="605"/>
      <c r="R354" s="605"/>
      <c r="S354" s="763">
        <v>88.09</v>
      </c>
      <c r="T354" s="956">
        <v>0.25</v>
      </c>
      <c r="U354" s="603"/>
      <c r="V354" s="983"/>
      <c r="W354" s="616"/>
      <c r="X354" s="616"/>
      <c r="Y354" s="616"/>
      <c r="Z354" s="616"/>
      <c r="AA354" s="616"/>
      <c r="AB354" s="454"/>
      <c r="AC354" s="676"/>
      <c r="AD354" s="524"/>
      <c r="AE354" s="676"/>
      <c r="AF354" s="757"/>
      <c r="AG354" s="525"/>
      <c r="AH354" s="477"/>
      <c r="AI354" s="477"/>
      <c r="AJ354" s="477"/>
      <c r="AK354" s="477"/>
      <c r="AL354" s="477"/>
      <c r="AM354" s="477"/>
      <c r="AN354" s="477"/>
      <c r="AO354" s="477"/>
      <c r="AP354" s="477"/>
      <c r="AQ354" s="477"/>
      <c r="AR354" s="477"/>
      <c r="AS354" s="477"/>
      <c r="AT354" s="477"/>
      <c r="AU354" s="477"/>
      <c r="AV354" s="477"/>
      <c r="AW354" s="477"/>
      <c r="AX354" s="477"/>
      <c r="AY354" s="477"/>
      <c r="AZ354" s="477"/>
      <c r="BA354" s="477"/>
      <c r="BB354" s="477"/>
      <c r="BC354" s="477"/>
      <c r="BD354" s="477"/>
      <c r="BE354" s="477"/>
      <c r="BF354" s="477"/>
      <c r="BG354" s="477"/>
    </row>
    <row r="355" spans="1:123" s="964" customFormat="1" ht="25.5" customHeight="1" thickBot="1">
      <c r="A355" s="540"/>
      <c r="B355" s="541"/>
      <c r="C355" s="444"/>
      <c r="D355" s="445"/>
      <c r="E355" s="445"/>
      <c r="F355" s="445"/>
      <c r="G355" s="445"/>
      <c r="H355" s="445"/>
      <c r="I355" s="445"/>
      <c r="J355" s="446"/>
      <c r="K355" s="445"/>
      <c r="L355" s="446"/>
      <c r="M355" s="447"/>
      <c r="N355" s="448"/>
      <c r="O355" s="449"/>
      <c r="P355" s="449"/>
      <c r="Q355" s="450"/>
      <c r="R355" s="450"/>
      <c r="S355" s="451"/>
      <c r="T355" s="451"/>
      <c r="U355" s="452"/>
      <c r="V355" s="453"/>
      <c r="W355" s="447"/>
      <c r="X355" s="447"/>
      <c r="Y355" s="447"/>
      <c r="Z355" s="447"/>
      <c r="AA355" s="447"/>
      <c r="AB355" s="891"/>
      <c r="AC355" s="447"/>
      <c r="AD355" s="447"/>
      <c r="AE355" s="447"/>
      <c r="AF355" s="455"/>
      <c r="AG355" s="447"/>
      <c r="AH355" s="456"/>
      <c r="AI355" s="456"/>
      <c r="AJ355" s="456"/>
      <c r="AK355" s="456"/>
      <c r="AL355" s="456"/>
      <c r="AM355" s="456"/>
      <c r="AN355" s="456"/>
      <c r="AO355" s="456"/>
      <c r="AP355" s="456"/>
      <c r="AQ355" s="456"/>
      <c r="AR355" s="456"/>
      <c r="AS355" s="456"/>
      <c r="AT355" s="456"/>
      <c r="AU355" s="456"/>
      <c r="AV355" s="456" t="s">
        <v>1023</v>
      </c>
      <c r="AW355" s="653" t="s">
        <v>1157</v>
      </c>
      <c r="AX355" s="653"/>
      <c r="AY355" s="653"/>
      <c r="AZ355" s="653"/>
      <c r="BA355" s="653"/>
      <c r="BB355" s="653"/>
      <c r="BC355" s="653"/>
      <c r="BD355" s="653"/>
      <c r="BE355" s="653"/>
      <c r="BF355" s="653"/>
      <c r="BG355" s="653"/>
      <c r="BH355" s="963"/>
      <c r="DI355" s="965"/>
    </row>
    <row r="356" spans="1:123" s="1175" customFormat="1" ht="15" customHeight="1">
      <c r="A356" s="2290" t="s">
        <v>1359</v>
      </c>
      <c r="B356" s="566" t="s">
        <v>1360</v>
      </c>
      <c r="C356" s="567" t="s">
        <v>853</v>
      </c>
      <c r="D356" s="92" t="s">
        <v>1361</v>
      </c>
      <c r="E356" s="714">
        <v>25</v>
      </c>
      <c r="F356" s="715">
        <v>59.6</v>
      </c>
      <c r="G356" s="715">
        <v>13.06</v>
      </c>
      <c r="H356" s="716">
        <v>1575.36</v>
      </c>
      <c r="I356" s="717">
        <v>327.67</v>
      </c>
      <c r="J356" s="718" t="s">
        <v>35</v>
      </c>
      <c r="K356" s="719" t="s">
        <v>35</v>
      </c>
      <c r="L356" s="573" t="s">
        <v>853</v>
      </c>
      <c r="M356" s="742" t="s">
        <v>1362</v>
      </c>
      <c r="N356" s="482">
        <v>23.23</v>
      </c>
      <c r="O356" s="497">
        <v>6.47</v>
      </c>
      <c r="P356" s="497">
        <v>639.71</v>
      </c>
      <c r="Q356" s="577" t="s">
        <v>35</v>
      </c>
      <c r="R356" s="486">
        <f>N356</f>
        <v>23.23</v>
      </c>
      <c r="S356" s="658" t="s">
        <v>841</v>
      </c>
      <c r="T356" s="659" t="s">
        <v>842</v>
      </c>
      <c r="U356" s="560"/>
      <c r="V356" s="2255" t="s">
        <v>1008</v>
      </c>
      <c r="W356" s="583" t="s">
        <v>175</v>
      </c>
      <c r="X356" s="51" t="s">
        <v>1332</v>
      </c>
      <c r="Y356" s="1159" t="e">
        <f>#REF!</f>
        <v>#REF!</v>
      </c>
      <c r="Z356" s="992" t="s">
        <v>918</v>
      </c>
      <c r="AA356" s="1160" t="s">
        <v>918</v>
      </c>
      <c r="AB356" s="1161"/>
      <c r="AC356" s="723"/>
      <c r="AD356" s="2330" t="s">
        <v>846</v>
      </c>
      <c r="AE356" s="1989"/>
      <c r="AF356" s="771" t="s">
        <v>175</v>
      </c>
      <c r="AG356" s="583" t="s">
        <v>1363</v>
      </c>
      <c r="AH356" s="726"/>
      <c r="AI356" s="727">
        <v>1199</v>
      </c>
      <c r="AJ356" s="727">
        <v>1139</v>
      </c>
      <c r="AK356" s="727">
        <v>1199</v>
      </c>
      <c r="AL356" s="727">
        <v>1229</v>
      </c>
      <c r="AM356" s="727"/>
      <c r="AN356" s="727"/>
      <c r="AO356" s="727"/>
      <c r="AP356" s="727"/>
      <c r="AQ356" s="727"/>
      <c r="AR356" s="727"/>
      <c r="AS356" s="727"/>
      <c r="AT356" s="727"/>
      <c r="AU356" s="727"/>
      <c r="AV356" s="728"/>
      <c r="AW356" s="1162"/>
      <c r="AX356" s="663"/>
      <c r="AY356" s="663"/>
      <c r="AZ356" s="663"/>
      <c r="BA356" s="663"/>
      <c r="BB356" s="663"/>
      <c r="BC356" s="663"/>
      <c r="BD356" s="663"/>
      <c r="BE356" s="663"/>
      <c r="BF356" s="663"/>
      <c r="BG356" s="663"/>
      <c r="BH356" s="432"/>
      <c r="CF356" s="331"/>
      <c r="CG356" s="331"/>
      <c r="CH356" s="331"/>
      <c r="CI356" s="331"/>
      <c r="CJ356" s="331"/>
      <c r="CK356" s="331"/>
      <c r="CL356" s="331"/>
      <c r="CM356" s="331"/>
      <c r="CN356" s="331"/>
      <c r="CO356" s="331"/>
      <c r="CP356" s="331"/>
      <c r="CQ356" s="331"/>
      <c r="CR356" s="331"/>
      <c r="CS356" s="331"/>
      <c r="CT356" s="331"/>
      <c r="CU356" s="331"/>
      <c r="CV356" s="331"/>
      <c r="CW356" s="331"/>
      <c r="CX356" s="331"/>
      <c r="CY356" s="331"/>
      <c r="CZ356" s="331"/>
      <c r="DA356" s="331"/>
      <c r="DB356" s="331"/>
      <c r="DC356" s="331"/>
      <c r="DD356" s="331"/>
      <c r="DE356" s="331"/>
      <c r="DF356" s="331"/>
      <c r="DG356" s="331"/>
      <c r="DH356" s="331"/>
      <c r="DI356" s="848"/>
      <c r="DJ356" s="331"/>
      <c r="DK356" s="331"/>
      <c r="DL356" s="331"/>
      <c r="DM356" s="331"/>
      <c r="DN356" s="331"/>
      <c r="DO356" s="331"/>
      <c r="DP356" s="331"/>
      <c r="DQ356" s="331"/>
      <c r="DR356" s="331"/>
      <c r="DS356" s="331"/>
    </row>
    <row r="357" spans="1:123" s="1175" customFormat="1">
      <c r="A357" s="2291"/>
      <c r="B357" s="566" t="s">
        <v>1364</v>
      </c>
      <c r="C357" s="567" t="s">
        <v>853</v>
      </c>
      <c r="D357" s="583" t="s">
        <v>1365</v>
      </c>
      <c r="E357" s="714">
        <v>25</v>
      </c>
      <c r="F357" s="715">
        <v>4.43</v>
      </c>
      <c r="G357" s="715">
        <v>0.626</v>
      </c>
      <c r="H357" s="716">
        <v>1575.36</v>
      </c>
      <c r="I357" s="717">
        <v>327.67</v>
      </c>
      <c r="J357" s="718" t="s">
        <v>35</v>
      </c>
      <c r="K357" s="719" t="s">
        <v>35</v>
      </c>
      <c r="L357" s="573" t="s">
        <v>35</v>
      </c>
      <c r="M357" s="574" t="s">
        <v>35</v>
      </c>
      <c r="N357" s="482">
        <v>-230.48</v>
      </c>
      <c r="O357" s="497">
        <v>3.17</v>
      </c>
      <c r="P357" s="497">
        <v>72.760000000000005</v>
      </c>
      <c r="Q357" s="577" t="s">
        <v>35</v>
      </c>
      <c r="R357" s="486">
        <f>N357</f>
        <v>-230.48</v>
      </c>
      <c r="S357" s="487" t="s">
        <v>1366</v>
      </c>
      <c r="T357" s="769" t="s">
        <v>1367</v>
      </c>
      <c r="U357" s="770"/>
      <c r="V357" s="2255"/>
      <c r="W357" s="583" t="s">
        <v>174</v>
      </c>
      <c r="X357" s="1163" t="s">
        <v>1368</v>
      </c>
      <c r="Y357" s="683">
        <f>((40*$R$356)+(4*$R$357)+(2*$R$358)+$R$359+$T$363)+(1+$T$365)</f>
        <v>1761.23</v>
      </c>
      <c r="Z357" s="992" t="e">
        <f t="shared" ref="Z357" si="23">Y357-$Y$356</f>
        <v>#REF!</v>
      </c>
      <c r="AA357" s="682">
        <f>110.11/H356*Y357</f>
        <v>123.1014087573634</v>
      </c>
      <c r="AB357" s="722"/>
      <c r="AC357" s="740"/>
      <c r="AD357" s="490" t="s">
        <v>795</v>
      </c>
      <c r="AE357" s="968">
        <f>AVERAGE($AX$357:$AX$361)</f>
        <v>1.9668226801450861E-2</v>
      </c>
      <c r="AF357" s="771" t="s">
        <v>174</v>
      </c>
      <c r="AG357" s="40" t="s">
        <v>1368</v>
      </c>
      <c r="AH357" s="726">
        <f>Y357</f>
        <v>1761.23</v>
      </c>
      <c r="AI357" s="727"/>
      <c r="AJ357" s="727"/>
      <c r="AK357" s="727">
        <v>1449</v>
      </c>
      <c r="AL357" s="727">
        <v>1599</v>
      </c>
      <c r="AM357" s="727"/>
      <c r="AN357" s="727"/>
      <c r="AO357" s="727"/>
      <c r="AP357" s="727">
        <v>1398</v>
      </c>
      <c r="AQ357" s="727">
        <v>1614</v>
      </c>
      <c r="AR357" s="727"/>
      <c r="AS357" s="727"/>
      <c r="AT357" s="727"/>
      <c r="AU357" s="727"/>
      <c r="AV357" s="728"/>
      <c r="AW357" s="663">
        <f>AH357-AVERAGE(AI357:AV357)</f>
        <v>246.23000000000002</v>
      </c>
      <c r="AX357" s="1124">
        <f>AW357/AVERAGE(AH357:AV357)</f>
        <v>0.15741130231434189</v>
      </c>
      <c r="AY357" s="663"/>
      <c r="AZ357" s="663"/>
      <c r="BA357" s="663"/>
      <c r="BB357" s="663"/>
      <c r="BC357" s="663"/>
      <c r="BD357" s="663"/>
      <c r="BE357" s="663"/>
      <c r="BF357" s="663"/>
      <c r="BG357" s="663"/>
      <c r="BH357" s="432"/>
      <c r="CF357" s="331"/>
      <c r="CG357" s="331"/>
      <c r="CH357" s="331"/>
      <c r="CI357" s="331"/>
      <c r="CJ357" s="331"/>
      <c r="CK357" s="331"/>
      <c r="CL357" s="331"/>
      <c r="CM357" s="331"/>
      <c r="CN357" s="331"/>
      <c r="CO357" s="331"/>
      <c r="CP357" s="331"/>
      <c r="CQ357" s="331"/>
      <c r="CR357" s="331"/>
      <c r="CS357" s="331"/>
      <c r="CT357" s="331"/>
      <c r="CU357" s="331"/>
      <c r="CV357" s="331"/>
      <c r="CW357" s="331"/>
      <c r="CX357" s="331"/>
      <c r="CY357" s="331"/>
      <c r="CZ357" s="331"/>
      <c r="DA357" s="331"/>
      <c r="DB357" s="331"/>
      <c r="DC357" s="331"/>
      <c r="DD357" s="331"/>
      <c r="DE357" s="331"/>
      <c r="DF357" s="331"/>
      <c r="DG357" s="331"/>
      <c r="DH357" s="331"/>
      <c r="DI357" s="848"/>
      <c r="DJ357" s="331"/>
      <c r="DK357" s="331"/>
      <c r="DL357" s="331"/>
      <c r="DM357" s="331"/>
      <c r="DN357" s="331"/>
      <c r="DO357" s="331"/>
      <c r="DP357" s="331"/>
      <c r="DQ357" s="331"/>
      <c r="DR357" s="331"/>
      <c r="DS357" s="331"/>
    </row>
    <row r="358" spans="1:123" s="1175" customFormat="1">
      <c r="A358" s="2291"/>
      <c r="B358" s="566" t="s">
        <v>1291</v>
      </c>
      <c r="C358" s="567" t="s">
        <v>853</v>
      </c>
      <c r="D358" s="583" t="s">
        <v>1369</v>
      </c>
      <c r="E358" s="714">
        <v>25</v>
      </c>
      <c r="F358" s="715">
        <v>2.29</v>
      </c>
      <c r="G358" s="715">
        <v>0.158</v>
      </c>
      <c r="H358" s="716">
        <v>1575.36</v>
      </c>
      <c r="I358" s="717">
        <v>327.67</v>
      </c>
      <c r="J358" s="718" t="s">
        <v>35</v>
      </c>
      <c r="K358" s="719" t="s">
        <v>35</v>
      </c>
      <c r="L358" s="573" t="s">
        <v>853</v>
      </c>
      <c r="M358" s="742" t="s">
        <v>1370</v>
      </c>
      <c r="N358" s="482">
        <v>-782.21</v>
      </c>
      <c r="O358" s="497">
        <v>2.52</v>
      </c>
      <c r="P358" s="497">
        <v>310.08</v>
      </c>
      <c r="Q358" s="577" t="s">
        <v>35</v>
      </c>
      <c r="R358" s="486">
        <f>N358</f>
        <v>-782.21</v>
      </c>
      <c r="S358" s="667" t="s">
        <v>858</v>
      </c>
      <c r="T358" s="499" t="s">
        <v>859</v>
      </c>
      <c r="U358" s="470"/>
      <c r="V358" s="2255"/>
      <c r="W358" s="583" t="s">
        <v>174</v>
      </c>
      <c r="X358" s="40" t="s">
        <v>1371</v>
      </c>
      <c r="Y358" s="683">
        <f>((50*$R$356)+(4.5*$R$357)+(2.4*$R$358)+$R$359+$T$363)+(1+$T$365)</f>
        <v>1565.4059999999999</v>
      </c>
      <c r="Z358" s="992" t="e">
        <f>Y358-#REF!</f>
        <v>#REF!</v>
      </c>
      <c r="AA358" s="682">
        <f>110.11/H356*Y358</f>
        <v>109.41426382541134</v>
      </c>
      <c r="AB358" s="722"/>
      <c r="AC358" s="740"/>
      <c r="AD358" s="490" t="s">
        <v>874</v>
      </c>
      <c r="AE358" s="968">
        <f>STDEV($AX$357:$AX$361)</f>
        <v>0.36138277161763288</v>
      </c>
      <c r="AF358" s="771" t="s">
        <v>174</v>
      </c>
      <c r="AG358" s="40" t="s">
        <v>1371</v>
      </c>
      <c r="AH358" s="726">
        <f t="shared" ref="AH358:AH362" si="24">Y358</f>
        <v>1565.4059999999999</v>
      </c>
      <c r="AI358" s="727"/>
      <c r="AJ358" s="727"/>
      <c r="AK358" s="727"/>
      <c r="AL358" s="727"/>
      <c r="AM358" s="727">
        <v>2612</v>
      </c>
      <c r="AN358" s="727"/>
      <c r="AO358" s="727"/>
      <c r="AP358" s="727">
        <v>2495</v>
      </c>
      <c r="AQ358" s="727"/>
      <c r="AR358" s="727">
        <v>2399</v>
      </c>
      <c r="AS358" s="727"/>
      <c r="AT358" s="727"/>
      <c r="AU358" s="727"/>
      <c r="AV358" s="728">
        <v>2399</v>
      </c>
      <c r="AW358" s="663">
        <f t="shared" ref="AW358:AW361" si="25">AH358-AVERAGE(AI358:AV358)</f>
        <v>-910.84400000000005</v>
      </c>
      <c r="AX358" s="1124">
        <f t="shared" ref="AX358:AX361" si="26">AW358/AVERAGE(AH358:AV358)</f>
        <v>-0.39704087196216081</v>
      </c>
      <c r="AY358" s="663"/>
      <c r="AZ358" s="663"/>
      <c r="BA358" s="663"/>
      <c r="BB358" s="663"/>
      <c r="BC358" s="663"/>
      <c r="BD358" s="663"/>
      <c r="BE358" s="663"/>
      <c r="BF358" s="663"/>
      <c r="BG358" s="663"/>
      <c r="BH358" s="432"/>
      <c r="CF358" s="331"/>
      <c r="CG358" s="331"/>
      <c r="CH358" s="331"/>
      <c r="CI358" s="331"/>
      <c r="CJ358" s="331"/>
      <c r="CK358" s="331"/>
      <c r="CL358" s="331"/>
      <c r="CM358" s="331"/>
      <c r="CN358" s="331"/>
      <c r="CO358" s="331"/>
      <c r="CP358" s="331"/>
      <c r="CQ358" s="331"/>
      <c r="CR358" s="331"/>
      <c r="CS358" s="331"/>
      <c r="CT358" s="331"/>
      <c r="CU358" s="331"/>
      <c r="CV358" s="331"/>
      <c r="CW358" s="331"/>
      <c r="CX358" s="331"/>
      <c r="CY358" s="331"/>
      <c r="CZ358" s="331"/>
      <c r="DA358" s="331"/>
      <c r="DB358" s="331"/>
      <c r="DC358" s="331"/>
      <c r="DD358" s="331"/>
      <c r="DE358" s="331"/>
      <c r="DF358" s="331"/>
      <c r="DG358" s="331"/>
      <c r="DH358" s="331"/>
      <c r="DI358" s="848"/>
      <c r="DJ358" s="331"/>
      <c r="DK358" s="331"/>
      <c r="DL358" s="331"/>
      <c r="DM358" s="331"/>
      <c r="DN358" s="331"/>
      <c r="DO358" s="331"/>
      <c r="DP358" s="331"/>
      <c r="DQ358" s="331"/>
      <c r="DR358" s="331"/>
      <c r="DS358" s="331"/>
    </row>
    <row r="359" spans="1:123" s="1175" customFormat="1">
      <c r="A359" s="2291"/>
      <c r="B359" s="2273" t="s">
        <v>63</v>
      </c>
      <c r="C359" s="2274" t="s">
        <v>839</v>
      </c>
      <c r="D359" s="92" t="s">
        <v>65</v>
      </c>
      <c r="E359" s="714">
        <v>22</v>
      </c>
      <c r="F359" s="743" t="s">
        <v>35</v>
      </c>
      <c r="G359" s="743" t="s">
        <v>35</v>
      </c>
      <c r="H359" s="716">
        <v>1613.64</v>
      </c>
      <c r="I359" s="717">
        <v>328.68</v>
      </c>
      <c r="J359" s="718" t="s">
        <v>35</v>
      </c>
      <c r="K359" s="719" t="s">
        <v>35</v>
      </c>
      <c r="L359" s="573" t="s">
        <v>35</v>
      </c>
      <c r="M359" s="574" t="s">
        <v>35</v>
      </c>
      <c r="N359" s="482">
        <v>361.35</v>
      </c>
      <c r="O359" s="901">
        <v>2.2999999999999998</v>
      </c>
      <c r="P359" s="901">
        <v>157.07</v>
      </c>
      <c r="Q359" s="577" t="s">
        <v>35</v>
      </c>
      <c r="R359" s="486">
        <f>N359</f>
        <v>361.35</v>
      </c>
      <c r="S359" s="748" t="s">
        <v>310</v>
      </c>
      <c r="T359" s="749" t="s">
        <v>1019</v>
      </c>
      <c r="U359" s="591"/>
      <c r="V359" s="2255"/>
      <c r="W359" s="583" t="s">
        <v>174</v>
      </c>
      <c r="X359" s="40" t="s">
        <v>1372</v>
      </c>
      <c r="Y359" s="683">
        <f>((50*$R$356)+(5.5*$R$357)+(2.45*$R$358)+$R$359+$T$363)+(1+$T$365)</f>
        <v>1295.8154999999997</v>
      </c>
      <c r="Z359" s="992" t="e">
        <f>Y359-#REF!</f>
        <v>#REF!</v>
      </c>
      <c r="AA359" s="682">
        <f>110.11/H356*Y359</f>
        <v>90.571199411563057</v>
      </c>
      <c r="AB359" s="722"/>
      <c r="AC359" s="740"/>
      <c r="AD359" s="490" t="s">
        <v>977</v>
      </c>
      <c r="AE359" s="968">
        <f>MIN($AX$357:$AX$361)</f>
        <v>-0.39704087196216081</v>
      </c>
      <c r="AF359" s="771" t="s">
        <v>174</v>
      </c>
      <c r="AG359" s="40" t="s">
        <v>1372</v>
      </c>
      <c r="AH359" s="726">
        <f t="shared" si="24"/>
        <v>1295.8154999999997</v>
      </c>
      <c r="AI359" s="727"/>
      <c r="AJ359" s="727"/>
      <c r="AK359" s="727"/>
      <c r="AL359" s="727">
        <v>1165</v>
      </c>
      <c r="AM359" s="727">
        <v>1735</v>
      </c>
      <c r="AN359" s="727">
        <v>1219</v>
      </c>
      <c r="AO359" s="727">
        <v>1468</v>
      </c>
      <c r="AP359" s="727"/>
      <c r="AQ359" s="727"/>
      <c r="AR359" s="727"/>
      <c r="AS359" s="727"/>
      <c r="AT359" s="727"/>
      <c r="AU359" s="727"/>
      <c r="AV359" s="728"/>
      <c r="AW359" s="663">
        <f t="shared" si="25"/>
        <v>-100.9345000000003</v>
      </c>
      <c r="AX359" s="1124">
        <f t="shared" si="26"/>
        <v>-7.3323554873728866E-2</v>
      </c>
      <c r="AY359" s="663"/>
      <c r="AZ359" s="663"/>
      <c r="BA359" s="663"/>
      <c r="BB359" s="663"/>
      <c r="BC359" s="663"/>
      <c r="BD359" s="663"/>
      <c r="BE359" s="663"/>
      <c r="BF359" s="663"/>
      <c r="BG359" s="663"/>
      <c r="BH359" s="432"/>
      <c r="CF359" s="331"/>
      <c r="CG359" s="331"/>
      <c r="CH359" s="331"/>
      <c r="CI359" s="331"/>
      <c r="CJ359" s="331"/>
      <c r="CK359" s="331"/>
      <c r="CL359" s="331"/>
      <c r="CM359" s="331"/>
      <c r="CN359" s="331"/>
      <c r="CO359" s="331"/>
      <c r="CP359" s="331"/>
      <c r="CQ359" s="331"/>
      <c r="CR359" s="331"/>
      <c r="CS359" s="331"/>
      <c r="CT359" s="331"/>
      <c r="CU359" s="331"/>
      <c r="CV359" s="331"/>
      <c r="CW359" s="331"/>
      <c r="CX359" s="331"/>
      <c r="CY359" s="331"/>
      <c r="CZ359" s="331"/>
      <c r="DA359" s="331"/>
      <c r="DB359" s="331"/>
      <c r="DC359" s="331"/>
      <c r="DD359" s="331"/>
      <c r="DE359" s="331"/>
      <c r="DF359" s="331"/>
      <c r="DG359" s="331"/>
      <c r="DH359" s="331"/>
      <c r="DI359" s="848"/>
      <c r="DJ359" s="331"/>
      <c r="DK359" s="331"/>
      <c r="DL359" s="331"/>
      <c r="DM359" s="331"/>
      <c r="DN359" s="331"/>
      <c r="DO359" s="331"/>
      <c r="DP359" s="331"/>
      <c r="DQ359" s="331"/>
      <c r="DR359" s="331"/>
      <c r="DS359" s="331"/>
    </row>
    <row r="360" spans="1:123" s="1175" customFormat="1">
      <c r="A360" s="2291"/>
      <c r="B360" s="2273"/>
      <c r="C360" s="2274"/>
      <c r="D360" s="92" t="s">
        <v>1018</v>
      </c>
      <c r="E360" s="714">
        <v>3</v>
      </c>
      <c r="F360" s="743" t="s">
        <v>35</v>
      </c>
      <c r="G360" s="743" t="s">
        <v>35</v>
      </c>
      <c r="H360" s="716">
        <v>1294.67</v>
      </c>
      <c r="I360" s="717">
        <v>140.43</v>
      </c>
      <c r="J360" s="718" t="s">
        <v>35</v>
      </c>
      <c r="K360" s="719" t="s">
        <v>35</v>
      </c>
      <c r="L360" s="573" t="s">
        <v>35</v>
      </c>
      <c r="M360" s="574" t="s">
        <v>35</v>
      </c>
      <c r="N360" s="482">
        <v>0</v>
      </c>
      <c r="O360" s="484" t="s">
        <v>847</v>
      </c>
      <c r="P360" s="484" t="s">
        <v>847</v>
      </c>
      <c r="Q360" s="577" t="s">
        <v>35</v>
      </c>
      <c r="R360" s="486">
        <f>N360</f>
        <v>0</v>
      </c>
      <c r="S360" s="667" t="s">
        <v>868</v>
      </c>
      <c r="T360" s="637" t="s">
        <v>869</v>
      </c>
      <c r="U360" s="560"/>
      <c r="V360" s="2255"/>
      <c r="W360" s="583" t="s">
        <v>174</v>
      </c>
      <c r="X360" s="40" t="s">
        <v>1373</v>
      </c>
      <c r="Y360" s="683">
        <f>((60*$R$356)+(4.5*$R$357)+(2.33*$R$358)+$R$359+$T$363)+(1+$T$365)</f>
        <v>1852.4607000000001</v>
      </c>
      <c r="Z360" s="992" t="e">
        <f>Y360-#REF!</f>
        <v>#REF!</v>
      </c>
      <c r="AA360" s="682">
        <f>110.11/H356*Y360</f>
        <v>129.47799085732785</v>
      </c>
      <c r="AB360" s="722"/>
      <c r="AC360" s="740"/>
      <c r="AD360" s="490" t="s">
        <v>978</v>
      </c>
      <c r="AE360" s="968">
        <f>MAX($AX$357:$AX$361)</f>
        <v>0.56057432381440031</v>
      </c>
      <c r="AF360" s="771" t="s">
        <v>174</v>
      </c>
      <c r="AG360" s="40" t="s">
        <v>1373</v>
      </c>
      <c r="AH360" s="726">
        <f t="shared" si="24"/>
        <v>1852.4607000000001</v>
      </c>
      <c r="AI360" s="727"/>
      <c r="AJ360" s="727"/>
      <c r="AK360" s="727"/>
      <c r="AL360" s="727">
        <v>2279</v>
      </c>
      <c r="AM360" s="727"/>
      <c r="AN360" s="727"/>
      <c r="AO360" s="727"/>
      <c r="AP360" s="727">
        <v>2099</v>
      </c>
      <c r="AQ360" s="727"/>
      <c r="AR360" s="727"/>
      <c r="AS360" s="727">
        <v>1889</v>
      </c>
      <c r="AT360" s="727">
        <v>2399</v>
      </c>
      <c r="AU360" s="727"/>
      <c r="AV360" s="728"/>
      <c r="AW360" s="663">
        <f t="shared" si="25"/>
        <v>-314.03929999999991</v>
      </c>
      <c r="AX360" s="1124">
        <f t="shared" si="26"/>
        <v>-0.14928006528559826</v>
      </c>
      <c r="AY360" s="663"/>
      <c r="AZ360" s="663"/>
      <c r="BA360" s="663"/>
      <c r="BB360" s="663"/>
      <c r="BC360" s="663"/>
      <c r="BD360" s="663"/>
      <c r="BE360" s="663"/>
      <c r="BF360" s="663"/>
      <c r="BG360" s="663"/>
      <c r="BH360" s="432"/>
      <c r="CF360" s="331"/>
      <c r="CG360" s="331"/>
      <c r="CH360" s="331"/>
      <c r="CI360" s="331"/>
      <c r="CJ360" s="331"/>
      <c r="CK360" s="331"/>
      <c r="CL360" s="331"/>
      <c r="CM360" s="331"/>
      <c r="CN360" s="331"/>
      <c r="CO360" s="331"/>
      <c r="CP360" s="331"/>
      <c r="CQ360" s="331"/>
      <c r="CR360" s="331"/>
      <c r="CS360" s="331"/>
      <c r="CT360" s="331"/>
      <c r="CU360" s="331"/>
      <c r="CV360" s="331"/>
      <c r="CW360" s="331"/>
      <c r="CX360" s="331"/>
      <c r="CY360" s="331"/>
      <c r="CZ360" s="331"/>
      <c r="DA360" s="331"/>
      <c r="DB360" s="331"/>
      <c r="DC360" s="331"/>
      <c r="DD360" s="331"/>
      <c r="DE360" s="331"/>
      <c r="DF360" s="331"/>
      <c r="DG360" s="331"/>
      <c r="DH360" s="331"/>
      <c r="DI360" s="848"/>
      <c r="DJ360" s="331"/>
      <c r="DK360" s="331"/>
      <c r="DL360" s="331"/>
      <c r="DM360" s="331"/>
      <c r="DN360" s="331"/>
      <c r="DO360" s="331"/>
      <c r="DP360" s="331"/>
      <c r="DQ360" s="331"/>
      <c r="DR360" s="331"/>
      <c r="DS360" s="331"/>
    </row>
    <row r="361" spans="1:123" s="1175" customFormat="1">
      <c r="A361" s="2291"/>
      <c r="B361" s="2307" t="s">
        <v>1021</v>
      </c>
      <c r="C361" s="515"/>
      <c r="D361" s="525"/>
      <c r="E361" s="521"/>
      <c r="F361" s="525"/>
      <c r="G361" s="525"/>
      <c r="H361" s="525"/>
      <c r="I361" s="525"/>
      <c r="J361" s="757"/>
      <c r="K361" s="525"/>
      <c r="L361" s="757"/>
      <c r="M361" s="525"/>
      <c r="N361" s="758"/>
      <c r="O361" s="759"/>
      <c r="P361" s="759"/>
      <c r="Q361" s="605"/>
      <c r="R361" s="605"/>
      <c r="S361" s="564">
        <v>25</v>
      </c>
      <c r="T361" s="488" t="s">
        <v>35</v>
      </c>
      <c r="U361" s="452"/>
      <c r="V361" s="2255"/>
      <c r="W361" s="583" t="s">
        <v>174</v>
      </c>
      <c r="X361" s="40" t="s">
        <v>1374</v>
      </c>
      <c r="Y361" s="683">
        <f>((80*$R$356)+(2.2*$R$357)+(2.51*$R$358)+$R$359+$T$363)+(1+$T$365)</f>
        <v>2706.3669</v>
      </c>
      <c r="Z361" s="992" t="e">
        <f>Y361-#REF!</f>
        <v>#REF!</v>
      </c>
      <c r="AA361" s="682">
        <f>110.11/H356*Y361</f>
        <v>189.16188005217856</v>
      </c>
      <c r="AB361" s="722"/>
      <c r="AC361" s="525"/>
      <c r="AD361" s="520"/>
      <c r="AE361" s="521"/>
      <c r="AF361" s="771" t="s">
        <v>174</v>
      </c>
      <c r="AG361" s="40" t="s">
        <v>1374</v>
      </c>
      <c r="AH361" s="726">
        <f t="shared" si="24"/>
        <v>2706.3669</v>
      </c>
      <c r="AI361" s="727"/>
      <c r="AJ361" s="727"/>
      <c r="AK361" s="727"/>
      <c r="AL361" s="727">
        <v>2026</v>
      </c>
      <c r="AM361" s="727">
        <v>1785</v>
      </c>
      <c r="AN361" s="727"/>
      <c r="AO361" s="727"/>
      <c r="AP361" s="727"/>
      <c r="AQ361" s="727"/>
      <c r="AR361" s="727"/>
      <c r="AS361" s="727"/>
      <c r="AT361" s="727"/>
      <c r="AU361" s="727">
        <v>1103.8900000000001</v>
      </c>
      <c r="AV361" s="728"/>
      <c r="AW361" s="663">
        <f t="shared" si="25"/>
        <v>1068.0702333333331</v>
      </c>
      <c r="AX361" s="1124">
        <f t="shared" si="26"/>
        <v>0.56057432381440031</v>
      </c>
      <c r="AY361" s="663"/>
      <c r="AZ361" s="663"/>
      <c r="BA361" s="663"/>
      <c r="BB361" s="663"/>
      <c r="BC361" s="663"/>
      <c r="BD361" s="663"/>
      <c r="BE361" s="663"/>
      <c r="BF361" s="663"/>
      <c r="BG361" s="663"/>
      <c r="BH361" s="432"/>
      <c r="CF361" s="331"/>
      <c r="CG361" s="331"/>
      <c r="CH361" s="331"/>
      <c r="CI361" s="331"/>
      <c r="CJ361" s="331"/>
      <c r="CK361" s="331"/>
      <c r="CL361" s="331"/>
      <c r="CM361" s="331"/>
      <c r="CN361" s="331"/>
      <c r="CO361" s="331"/>
      <c r="CP361" s="331"/>
      <c r="CQ361" s="331"/>
      <c r="CR361" s="331"/>
      <c r="CS361" s="331"/>
      <c r="CT361" s="331"/>
      <c r="CU361" s="331"/>
      <c r="CV361" s="331"/>
      <c r="CW361" s="331"/>
      <c r="CX361" s="331"/>
      <c r="CY361" s="331"/>
      <c r="CZ361" s="331"/>
      <c r="DA361" s="331"/>
      <c r="DB361" s="331"/>
      <c r="DC361" s="331"/>
      <c r="DD361" s="331"/>
      <c r="DE361" s="331"/>
      <c r="DF361" s="331"/>
      <c r="DG361" s="331"/>
      <c r="DH361" s="331"/>
      <c r="DI361" s="848"/>
      <c r="DJ361" s="331"/>
      <c r="DK361" s="331"/>
      <c r="DL361" s="331"/>
      <c r="DM361" s="331"/>
      <c r="DN361" s="331"/>
      <c r="DO361" s="331"/>
      <c r="DP361" s="331"/>
      <c r="DQ361" s="331"/>
      <c r="DR361" s="331"/>
      <c r="DS361" s="331"/>
    </row>
    <row r="362" spans="1:123" s="1175" customFormat="1">
      <c r="A362" s="2291"/>
      <c r="B362" s="2308"/>
      <c r="C362" s="515"/>
      <c r="D362" s="525"/>
      <c r="E362" s="525"/>
      <c r="F362" s="525"/>
      <c r="G362" s="525"/>
      <c r="H362" s="525"/>
      <c r="I362" s="525"/>
      <c r="J362" s="757"/>
      <c r="K362" s="525"/>
      <c r="L362" s="757"/>
      <c r="M362" s="525"/>
      <c r="N362" s="758"/>
      <c r="O362" s="759"/>
      <c r="P362" s="759"/>
      <c r="Q362" s="605"/>
      <c r="R362" s="605"/>
      <c r="S362" s="667" t="s">
        <v>876</v>
      </c>
      <c r="T362" s="637" t="s">
        <v>877</v>
      </c>
      <c r="U362" s="560"/>
      <c r="V362" s="2255"/>
      <c r="W362" s="583" t="s">
        <v>174</v>
      </c>
      <c r="X362" s="40" t="s">
        <v>1375</v>
      </c>
      <c r="Y362" s="683">
        <f>((80*$R$356)+(4.5*$R$357)+(2.33*$R$358)+$R$359+$T$363)+(1+$T$365)</f>
        <v>2317.0607</v>
      </c>
      <c r="Z362" s="992" t="e">
        <f>Y362-#REF!</f>
        <v>#REF!</v>
      </c>
      <c r="AA362" s="682">
        <f>110.11/H356*Y362</f>
        <v>161.95127061560532</v>
      </c>
      <c r="AB362" s="722"/>
      <c r="AC362" s="525"/>
      <c r="AD362" s="524"/>
      <c r="AE362" s="525"/>
      <c r="AF362" s="779" t="s">
        <v>174</v>
      </c>
      <c r="AG362" s="707" t="s">
        <v>1375</v>
      </c>
      <c r="AH362" s="726">
        <f t="shared" si="24"/>
        <v>2317.0607</v>
      </c>
      <c r="AI362" s="1164"/>
      <c r="AJ362" s="1164"/>
      <c r="AK362" s="1164"/>
      <c r="AL362" s="1164"/>
      <c r="AM362" s="1164"/>
      <c r="AN362" s="1164"/>
      <c r="AO362" s="1164"/>
      <c r="AP362" s="1164"/>
      <c r="AQ362" s="1164"/>
      <c r="AR362" s="1164"/>
      <c r="AS362" s="1164"/>
      <c r="AT362" s="1164"/>
      <c r="AU362" s="1164"/>
      <c r="AV362" s="1165"/>
      <c r="AW362" s="663"/>
      <c r="AX362" s="1124"/>
      <c r="AY362" s="663"/>
      <c r="AZ362" s="663"/>
      <c r="BA362" s="663"/>
      <c r="BB362" s="663"/>
      <c r="BC362" s="663"/>
      <c r="BD362" s="663"/>
      <c r="BE362" s="663"/>
      <c r="BF362" s="663"/>
      <c r="BG362" s="663"/>
      <c r="BH362" s="432"/>
      <c r="CF362" s="331"/>
      <c r="CG362" s="331"/>
      <c r="CH362" s="331"/>
      <c r="CI362" s="331"/>
      <c r="CJ362" s="331"/>
      <c r="CK362" s="331"/>
      <c r="CL362" s="331"/>
      <c r="CM362" s="331"/>
      <c r="CN362" s="331"/>
      <c r="CO362" s="331"/>
      <c r="CP362" s="331"/>
      <c r="CQ362" s="331"/>
      <c r="CR362" s="331"/>
      <c r="CS362" s="331"/>
      <c r="CT362" s="331"/>
      <c r="CU362" s="331"/>
      <c r="CV362" s="331"/>
      <c r="CW362" s="331"/>
      <c r="CX362" s="331"/>
      <c r="CY362" s="331"/>
      <c r="CZ362" s="331"/>
      <c r="DA362" s="331"/>
      <c r="DB362" s="331"/>
      <c r="DC362" s="331"/>
      <c r="DD362" s="331"/>
      <c r="DE362" s="331"/>
      <c r="DF362" s="331"/>
      <c r="DG362" s="331"/>
      <c r="DH362" s="331"/>
      <c r="DI362" s="848"/>
      <c r="DJ362" s="331"/>
      <c r="DK362" s="331"/>
      <c r="DL362" s="331"/>
      <c r="DM362" s="331"/>
      <c r="DN362" s="331"/>
      <c r="DO362" s="331"/>
      <c r="DP362" s="331"/>
      <c r="DQ362" s="331"/>
      <c r="DR362" s="331"/>
      <c r="DS362" s="331"/>
    </row>
    <row r="363" spans="1:123" s="1175" customFormat="1">
      <c r="A363" s="2291"/>
      <c r="B363" s="2308"/>
      <c r="C363" s="515"/>
      <c r="D363" s="525"/>
      <c r="E363" s="525"/>
      <c r="F363" s="525"/>
      <c r="G363" s="525"/>
      <c r="H363" s="525"/>
      <c r="I363" s="525"/>
      <c r="J363" s="757"/>
      <c r="K363" s="525"/>
      <c r="L363" s="757"/>
      <c r="M363" s="525"/>
      <c r="N363" s="758"/>
      <c r="O363" s="759"/>
      <c r="P363" s="759"/>
      <c r="Q363" s="605"/>
      <c r="R363" s="605"/>
      <c r="S363" s="509">
        <v>0.77700000000000002</v>
      </c>
      <c r="T363" s="510">
        <v>2955.87</v>
      </c>
      <c r="U363" s="452"/>
      <c r="V363" s="520"/>
      <c r="W363" s="521"/>
      <c r="X363" s="521"/>
      <c r="Y363" s="522"/>
      <c r="Z363" s="522"/>
      <c r="AA363" s="522"/>
      <c r="AB363" s="454"/>
      <c r="AC363" s="525"/>
      <c r="AD363" s="524"/>
      <c r="AE363" s="525"/>
      <c r="AF363" s="750"/>
      <c r="AG363" s="521"/>
      <c r="AH363" s="761"/>
      <c r="AI363" s="761"/>
      <c r="AJ363" s="761"/>
      <c r="AK363" s="761"/>
      <c r="AL363" s="761"/>
      <c r="AM363" s="761"/>
      <c r="AN363" s="761"/>
      <c r="AO363" s="761"/>
      <c r="AP363" s="761"/>
      <c r="AQ363" s="761"/>
      <c r="AR363" s="761"/>
      <c r="AS363" s="761"/>
      <c r="AT363" s="761"/>
      <c r="AU363" s="761"/>
      <c r="AV363" s="761"/>
      <c r="AW363" s="477"/>
      <c r="AX363" s="477"/>
      <c r="AY363" s="477"/>
      <c r="AZ363" s="477"/>
      <c r="BA363" s="477"/>
      <c r="BB363" s="477"/>
      <c r="BC363" s="477"/>
      <c r="BD363" s="477"/>
      <c r="BE363" s="477"/>
      <c r="BF363" s="477"/>
      <c r="BG363" s="477"/>
      <c r="BH363" s="432"/>
      <c r="CF363" s="331"/>
      <c r="CG363" s="331"/>
      <c r="CH363" s="331"/>
      <c r="CI363" s="331"/>
      <c r="CJ363" s="331"/>
      <c r="CK363" s="331"/>
      <c r="CL363" s="331"/>
      <c r="CM363" s="331"/>
      <c r="CN363" s="331"/>
      <c r="CO363" s="331"/>
      <c r="CP363" s="331"/>
      <c r="CQ363" s="331"/>
      <c r="CR363" s="331"/>
      <c r="CS363" s="331"/>
      <c r="CT363" s="331"/>
      <c r="CU363" s="331"/>
      <c r="CV363" s="331"/>
      <c r="CW363" s="331"/>
      <c r="CX363" s="331"/>
      <c r="CY363" s="331"/>
      <c r="CZ363" s="331"/>
      <c r="DA363" s="331"/>
      <c r="DB363" s="331"/>
      <c r="DC363" s="331"/>
      <c r="DD363" s="331"/>
      <c r="DE363" s="331"/>
      <c r="DF363" s="331"/>
      <c r="DG363" s="331"/>
      <c r="DH363" s="331"/>
      <c r="DI363" s="848"/>
      <c r="DJ363" s="331"/>
      <c r="DK363" s="331"/>
      <c r="DL363" s="331"/>
      <c r="DM363" s="331"/>
      <c r="DN363" s="331"/>
      <c r="DO363" s="331"/>
      <c r="DP363" s="331"/>
      <c r="DQ363" s="331"/>
      <c r="DR363" s="331"/>
      <c r="DS363" s="331"/>
    </row>
    <row r="364" spans="1:123" s="1175" customFormat="1">
      <c r="A364" s="2291"/>
      <c r="B364" s="2308"/>
      <c r="C364" s="515"/>
      <c r="D364" s="525"/>
      <c r="E364" s="525"/>
      <c r="F364" s="525"/>
      <c r="G364" s="525"/>
      <c r="H364" s="525"/>
      <c r="I364" s="525"/>
      <c r="J364" s="757"/>
      <c r="K364" s="525"/>
      <c r="L364" s="757"/>
      <c r="M364" s="525"/>
      <c r="N364" s="758"/>
      <c r="O364" s="759"/>
      <c r="P364" s="759"/>
      <c r="Q364" s="605"/>
      <c r="R364" s="605"/>
      <c r="S364" s="667" t="s">
        <v>883</v>
      </c>
      <c r="T364" s="499" t="s">
        <v>884</v>
      </c>
      <c r="U364" s="470"/>
      <c r="V364" s="524"/>
      <c r="W364" s="525"/>
      <c r="X364" s="525"/>
      <c r="Y364" s="515"/>
      <c r="Z364" s="515"/>
      <c r="AA364" s="515"/>
      <c r="AB364" s="454"/>
      <c r="AC364" s="525"/>
      <c r="AD364" s="524"/>
      <c r="AE364" s="525"/>
      <c r="AF364" s="757"/>
      <c r="AG364" s="525"/>
      <c r="AH364" s="477"/>
      <c r="AI364" s="477"/>
      <c r="AJ364" s="477"/>
      <c r="AK364" s="477"/>
      <c r="AL364" s="477"/>
      <c r="AM364" s="477"/>
      <c r="AN364" s="477"/>
      <c r="AO364" s="477"/>
      <c r="AP364" s="477"/>
      <c r="AQ364" s="477"/>
      <c r="AR364" s="477"/>
      <c r="AS364" s="477"/>
      <c r="AT364" s="477"/>
      <c r="AU364" s="477"/>
      <c r="AV364" s="477"/>
      <c r="AW364" s="477"/>
      <c r="AX364" s="477"/>
      <c r="AY364" s="477"/>
      <c r="AZ364" s="477"/>
      <c r="BA364" s="477"/>
      <c r="BB364" s="477"/>
      <c r="BC364" s="477"/>
      <c r="BD364" s="477"/>
      <c r="BE364" s="477"/>
      <c r="BF364" s="477"/>
      <c r="BG364" s="477"/>
      <c r="BH364" s="432"/>
      <c r="CF364" s="331"/>
      <c r="CG364" s="331"/>
      <c r="CH364" s="331"/>
      <c r="CI364" s="331"/>
      <c r="CJ364" s="331"/>
      <c r="CK364" s="331"/>
      <c r="CL364" s="331"/>
      <c r="CM364" s="331"/>
      <c r="CN364" s="331"/>
      <c r="CO364" s="331"/>
      <c r="CP364" s="331"/>
      <c r="CQ364" s="331"/>
      <c r="CR364" s="331"/>
      <c r="CS364" s="331"/>
      <c r="CT364" s="331"/>
      <c r="CU364" s="331"/>
      <c r="CV364" s="331"/>
      <c r="CW364" s="331"/>
      <c r="CX364" s="331"/>
      <c r="CY364" s="331"/>
      <c r="CZ364" s="331"/>
      <c r="DA364" s="331"/>
      <c r="DB364" s="331"/>
      <c r="DC364" s="331"/>
      <c r="DD364" s="331"/>
      <c r="DE364" s="331"/>
      <c r="DF364" s="331"/>
      <c r="DG364" s="331"/>
      <c r="DH364" s="331"/>
      <c r="DI364" s="848"/>
      <c r="DJ364" s="331"/>
      <c r="DK364" s="331"/>
      <c r="DL364" s="331"/>
      <c r="DM364" s="331"/>
      <c r="DN364" s="331"/>
      <c r="DO364" s="331"/>
      <c r="DP364" s="331"/>
      <c r="DQ364" s="331"/>
      <c r="DR364" s="331"/>
      <c r="DS364" s="331"/>
    </row>
    <row r="365" spans="1:123" s="1175" customFormat="1" ht="15" thickBot="1">
      <c r="A365" s="2292"/>
      <c r="B365" s="2331"/>
      <c r="C365" s="515"/>
      <c r="D365" s="525"/>
      <c r="E365" s="525"/>
      <c r="F365" s="525"/>
      <c r="G365" s="525"/>
      <c r="H365" s="525"/>
      <c r="I365" s="525"/>
      <c r="J365" s="757"/>
      <c r="K365" s="525"/>
      <c r="L365" s="757"/>
      <c r="M365" s="525"/>
      <c r="N365" s="758"/>
      <c r="O365" s="759"/>
      <c r="P365" s="759"/>
      <c r="Q365" s="605"/>
      <c r="R365" s="605"/>
      <c r="S365" s="1166">
        <v>110.11</v>
      </c>
      <c r="T365" s="671">
        <v>0.15</v>
      </c>
      <c r="U365" s="603"/>
      <c r="V365" s="524"/>
      <c r="W365" s="525"/>
      <c r="X365" s="525"/>
      <c r="Y365" s="515"/>
      <c r="Z365" s="515"/>
      <c r="AA365" s="515"/>
      <c r="AB365" s="454"/>
      <c r="AC365" s="958"/>
      <c r="AD365" s="957"/>
      <c r="AE365" s="958"/>
      <c r="AF365" s="960"/>
      <c r="AG365" s="525"/>
      <c r="AH365" s="477"/>
      <c r="AI365" s="477"/>
      <c r="AJ365" s="477"/>
      <c r="AK365" s="477"/>
      <c r="AL365" s="477"/>
      <c r="AM365" s="477"/>
      <c r="AN365" s="477"/>
      <c r="AO365" s="477"/>
      <c r="AP365" s="477"/>
      <c r="AQ365" s="477"/>
      <c r="AR365" s="477"/>
      <c r="AS365" s="477"/>
      <c r="AT365" s="477"/>
      <c r="AU365" s="477"/>
      <c r="AV365" s="477"/>
      <c r="AW365" s="477"/>
      <c r="AX365" s="477"/>
      <c r="AY365" s="477"/>
      <c r="AZ365" s="477"/>
      <c r="BA365" s="477"/>
      <c r="BB365" s="477"/>
      <c r="BC365" s="477"/>
      <c r="BD365" s="477"/>
      <c r="BE365" s="477"/>
      <c r="BF365" s="477"/>
      <c r="BG365" s="477"/>
      <c r="BH365" s="432"/>
      <c r="CF365" s="331"/>
      <c r="CG365" s="331"/>
      <c r="CH365" s="331"/>
      <c r="CI365" s="331"/>
      <c r="CJ365" s="331"/>
      <c r="CK365" s="331"/>
      <c r="CL365" s="331"/>
      <c r="CM365" s="331"/>
      <c r="CN365" s="331"/>
      <c r="CO365" s="331"/>
      <c r="CP365" s="331"/>
      <c r="CQ365" s="331"/>
      <c r="CR365" s="331"/>
      <c r="CS365" s="331"/>
      <c r="CT365" s="331"/>
      <c r="CU365" s="331"/>
      <c r="CV365" s="331"/>
      <c r="CW365" s="331"/>
      <c r="CX365" s="331"/>
      <c r="CY365" s="331"/>
      <c r="CZ365" s="331"/>
      <c r="DA365" s="331"/>
      <c r="DB365" s="331"/>
      <c r="DC365" s="331"/>
      <c r="DD365" s="331"/>
      <c r="DE365" s="331"/>
      <c r="DF365" s="331"/>
      <c r="DG365" s="331"/>
      <c r="DH365" s="331"/>
      <c r="DI365" s="848"/>
      <c r="DJ365" s="331"/>
      <c r="DK365" s="331"/>
      <c r="DL365" s="331"/>
      <c r="DM365" s="331"/>
      <c r="DN365" s="331"/>
      <c r="DO365" s="331"/>
      <c r="DP365" s="331"/>
      <c r="DQ365" s="331"/>
      <c r="DR365" s="331"/>
      <c r="DS365" s="331"/>
    </row>
    <row r="366" spans="1:123" s="1175" customFormat="1" ht="24" thickBot="1">
      <c r="A366" s="442" t="s">
        <v>1376</v>
      </c>
      <c r="B366" s="443"/>
      <c r="C366" s="444"/>
      <c r="D366" s="445"/>
      <c r="E366" s="445"/>
      <c r="F366" s="445"/>
      <c r="G366" s="445"/>
      <c r="H366" s="445"/>
      <c r="I366" s="445"/>
      <c r="J366" s="446"/>
      <c r="K366" s="445"/>
      <c r="L366" s="446"/>
      <c r="M366" s="447"/>
      <c r="N366" s="448"/>
      <c r="O366" s="449"/>
      <c r="P366" s="449"/>
      <c r="Q366" s="450"/>
      <c r="R366" s="450"/>
      <c r="S366" s="451"/>
      <c r="T366" s="451"/>
      <c r="U366" s="962"/>
      <c r="V366" s="453"/>
      <c r="W366" s="447"/>
      <c r="X366" s="447"/>
      <c r="Y366" s="447"/>
      <c r="Z366" s="447"/>
      <c r="AA366" s="447"/>
      <c r="AB366" s="1093"/>
      <c r="AC366" s="447"/>
      <c r="AD366" s="447"/>
      <c r="AE366" s="447"/>
      <c r="AF366" s="455"/>
      <c r="AG366" s="447"/>
      <c r="AH366" s="456"/>
      <c r="AI366" s="456"/>
      <c r="AJ366" s="456"/>
      <c r="AK366" s="456"/>
      <c r="AL366" s="456"/>
      <c r="AM366" s="456"/>
      <c r="AN366" s="456"/>
      <c r="AO366" s="456"/>
      <c r="AP366" s="456"/>
      <c r="AQ366" s="456"/>
      <c r="AR366" s="456"/>
      <c r="AS366" s="456"/>
      <c r="AT366" s="456" t="s">
        <v>1023</v>
      </c>
      <c r="AU366" s="456" t="s">
        <v>1157</v>
      </c>
      <c r="AV366" s="456"/>
      <c r="AW366" s="456"/>
      <c r="AX366" s="456"/>
      <c r="AY366" s="456"/>
      <c r="AZ366" s="456"/>
      <c r="BA366" s="456"/>
      <c r="BB366" s="456"/>
      <c r="BC366" s="456"/>
      <c r="BD366" s="456"/>
      <c r="BE366" s="456"/>
      <c r="BF366" s="456"/>
      <c r="BG366" s="456"/>
      <c r="BH366" s="432"/>
      <c r="CF366" s="331"/>
      <c r="CG366" s="331"/>
      <c r="CH366" s="331"/>
      <c r="CI366" s="331"/>
      <c r="CJ366" s="331"/>
      <c r="CK366" s="331"/>
      <c r="CL366" s="331"/>
      <c r="CM366" s="331"/>
      <c r="CN366" s="331"/>
      <c r="CO366" s="331"/>
      <c r="CP366" s="331"/>
      <c r="CQ366" s="331"/>
      <c r="CR366" s="331"/>
      <c r="CS366" s="331"/>
      <c r="CT366" s="331"/>
      <c r="CU366" s="331"/>
      <c r="CV366" s="331"/>
      <c r="CW366" s="331"/>
      <c r="CX366" s="331"/>
      <c r="CY366" s="331"/>
      <c r="CZ366" s="331"/>
      <c r="DA366" s="331"/>
      <c r="DB366" s="331"/>
      <c r="DC366" s="331"/>
      <c r="DD366" s="331"/>
      <c r="DE366" s="331"/>
      <c r="DF366" s="331"/>
      <c r="DG366" s="331"/>
      <c r="DH366" s="331"/>
      <c r="DI366" s="848"/>
      <c r="DJ366" s="331"/>
      <c r="DK366" s="331"/>
      <c r="DL366" s="331"/>
      <c r="DM366" s="331"/>
      <c r="DN366" s="331"/>
      <c r="DO366" s="331"/>
      <c r="DP366" s="331"/>
      <c r="DQ366" s="331"/>
      <c r="DR366" s="331"/>
      <c r="DS366" s="331"/>
    </row>
    <row r="367" spans="1:123" s="1175" customFormat="1" ht="15" customHeight="1">
      <c r="A367" s="2310" t="s">
        <v>1377</v>
      </c>
      <c r="B367" s="1167" t="s">
        <v>1378</v>
      </c>
      <c r="C367" s="1095" t="s">
        <v>853</v>
      </c>
      <c r="D367" s="1168" t="s">
        <v>1379</v>
      </c>
      <c r="E367" s="1169">
        <v>65</v>
      </c>
      <c r="F367" s="1109">
        <v>262298.40000000002</v>
      </c>
      <c r="G367" s="1109">
        <v>144055.79999999999</v>
      </c>
      <c r="H367" s="1097">
        <v>6603.16</v>
      </c>
      <c r="I367" s="1097">
        <v>3412.96</v>
      </c>
      <c r="J367" s="1170" t="s">
        <v>855</v>
      </c>
      <c r="K367" s="844" t="s">
        <v>1380</v>
      </c>
      <c r="L367" s="793" t="s">
        <v>35</v>
      </c>
      <c r="M367" s="689" t="s">
        <v>35</v>
      </c>
      <c r="N367" s="1099">
        <v>1.129E-2</v>
      </c>
      <c r="O367" s="1100">
        <v>8.23</v>
      </c>
      <c r="P367" s="1115">
        <v>1.371E-3</v>
      </c>
      <c r="Q367" s="466" t="s">
        <v>35</v>
      </c>
      <c r="R367" s="1171">
        <f>N367</f>
        <v>1.129E-2</v>
      </c>
      <c r="S367" s="1172" t="s">
        <v>841</v>
      </c>
      <c r="T367" s="469" t="s">
        <v>842</v>
      </c>
      <c r="U367" s="470"/>
      <c r="V367" s="2312" t="s">
        <v>843</v>
      </c>
      <c r="W367" s="1173" t="s">
        <v>175</v>
      </c>
      <c r="X367" s="1173" t="s">
        <v>1381</v>
      </c>
      <c r="Y367" s="1101">
        <f>((80*$R$368)+(0.8*$R$369)+(125000*$R$367)+$R$370+$R$372+$R$376+$T$374)*(1+$T$376)</f>
        <v>4885.9919119384658</v>
      </c>
      <c r="Z367" s="1101" t="s">
        <v>918</v>
      </c>
      <c r="AA367" s="882" t="s">
        <v>918</v>
      </c>
      <c r="AB367" s="454"/>
      <c r="AC367" s="525"/>
      <c r="AD367" s="2271" t="s">
        <v>846</v>
      </c>
      <c r="AE367" s="2272"/>
      <c r="AF367" s="1103" t="s">
        <v>175</v>
      </c>
      <c r="AG367" s="1174" t="s">
        <v>1382</v>
      </c>
      <c r="AH367" s="967">
        <f>Y367</f>
        <v>4885.9919119384658</v>
      </c>
      <c r="AI367" s="660">
        <v>3341.77</v>
      </c>
      <c r="AJ367" s="660"/>
      <c r="AK367" s="660">
        <v>3743</v>
      </c>
      <c r="AL367" s="660"/>
      <c r="AM367" s="660">
        <v>3457.35</v>
      </c>
      <c r="AN367" s="660"/>
      <c r="AO367" s="660"/>
      <c r="AP367" s="660"/>
      <c r="AQ367" s="660"/>
      <c r="AR367" s="660">
        <v>4185</v>
      </c>
      <c r="AS367" s="660"/>
      <c r="AT367" s="660"/>
      <c r="AU367" s="660"/>
      <c r="AV367" s="660"/>
      <c r="AW367" s="660">
        <v>4250</v>
      </c>
      <c r="AX367" s="660">
        <v>5041</v>
      </c>
      <c r="AY367" s="660"/>
      <c r="AZ367" s="660"/>
      <c r="BA367" s="660"/>
      <c r="BB367" s="663">
        <f>AH367-AVERAGE(AI367:BA367)</f>
        <v>882.97191193846538</v>
      </c>
      <c r="BC367" s="685">
        <f>BB367/AVERAGE(AI367:BA367)</f>
        <v>0.22057644277032473</v>
      </c>
      <c r="BD367" s="477">
        <f>MIN(AI367:BA367)</f>
        <v>3341.77</v>
      </c>
      <c r="BE367" s="477">
        <f>MAX(AI367:BA367)</f>
        <v>5041</v>
      </c>
      <c r="BF367" s="685">
        <f>(BE367-BD367)/BE367</f>
        <v>0.33708192818885141</v>
      </c>
      <c r="BG367" s="477"/>
      <c r="BH367" s="432"/>
      <c r="CF367" s="331"/>
      <c r="CG367" s="331"/>
      <c r="CH367" s="331"/>
      <c r="CI367" s="331"/>
      <c r="CJ367" s="331"/>
      <c r="CK367" s="331"/>
      <c r="CL367" s="331"/>
      <c r="CM367" s="331"/>
      <c r="CN367" s="331"/>
      <c r="CO367" s="331"/>
      <c r="CP367" s="331"/>
      <c r="CQ367" s="331"/>
      <c r="CR367" s="331"/>
      <c r="CS367" s="331"/>
      <c r="CT367" s="331"/>
      <c r="CU367" s="331"/>
      <c r="CV367" s="331"/>
      <c r="CW367" s="331"/>
      <c r="CX367" s="331"/>
      <c r="CY367" s="331"/>
      <c r="CZ367" s="331"/>
      <c r="DA367" s="331"/>
      <c r="DB367" s="331"/>
      <c r="DC367" s="331"/>
      <c r="DD367" s="331"/>
      <c r="DE367" s="331"/>
      <c r="DF367" s="331"/>
      <c r="DG367" s="331"/>
      <c r="DH367" s="331"/>
      <c r="DI367" s="848"/>
      <c r="DJ367" s="331"/>
      <c r="DK367" s="331"/>
      <c r="DL367" s="331"/>
      <c r="DM367" s="331"/>
      <c r="DN367" s="331"/>
      <c r="DO367" s="331"/>
      <c r="DP367" s="331"/>
      <c r="DQ367" s="331"/>
      <c r="DR367" s="331"/>
      <c r="DS367" s="331"/>
    </row>
    <row r="368" spans="1:123" s="1175" customFormat="1">
      <c r="A368" s="2311"/>
      <c r="B368" s="1176" t="s">
        <v>1296</v>
      </c>
      <c r="C368" s="1080" t="s">
        <v>853</v>
      </c>
      <c r="D368" s="668" t="s">
        <v>1383</v>
      </c>
      <c r="E368" s="1177">
        <v>65</v>
      </c>
      <c r="F368" s="1109">
        <v>88.438460000000006</v>
      </c>
      <c r="G368" s="1109">
        <v>19.981729999999999</v>
      </c>
      <c r="H368" s="1105">
        <v>6603.16</v>
      </c>
      <c r="I368" s="1105">
        <v>3412.96</v>
      </c>
      <c r="J368" s="834" t="s">
        <v>35</v>
      </c>
      <c r="K368" s="697" t="s">
        <v>35</v>
      </c>
      <c r="L368" s="834" t="s">
        <v>35</v>
      </c>
      <c r="M368" s="697" t="s">
        <v>35</v>
      </c>
      <c r="N368" s="1099">
        <v>29.92304</v>
      </c>
      <c r="O368" s="1100">
        <v>2.77</v>
      </c>
      <c r="P368" s="1115">
        <v>10.79571</v>
      </c>
      <c r="Q368" s="485" t="s">
        <v>35</v>
      </c>
      <c r="R368" s="684">
        <f>N368</f>
        <v>29.92304</v>
      </c>
      <c r="S368" s="567" t="s">
        <v>1384</v>
      </c>
      <c r="T368" s="488" t="s">
        <v>1014</v>
      </c>
      <c r="U368" s="452"/>
      <c r="V368" s="2313"/>
      <c r="W368" s="40" t="s">
        <v>174</v>
      </c>
      <c r="X368" s="583" t="s">
        <v>1385</v>
      </c>
      <c r="Y368" s="660">
        <f>((75*$R$368)+(0.83*$R$369)+(125000*$R$367)+$R$370+$R$372+$R$376+$T$374)*(1+$T$376)</f>
        <v>5105.9551612434616</v>
      </c>
      <c r="Z368" s="660">
        <f>Y368-Y367</f>
        <v>219.96324930499577</v>
      </c>
      <c r="AA368" s="661">
        <f>(0.83-0.8)*$P$369</f>
        <v>86.33897624999976</v>
      </c>
      <c r="AB368" s="722"/>
      <c r="AC368" s="525"/>
      <c r="AD368" s="490" t="s">
        <v>795</v>
      </c>
      <c r="AE368" s="968">
        <f>AVERAGE($BC$367:$BC$373)</f>
        <v>0.19728018335010158</v>
      </c>
      <c r="AF368" s="1106" t="s">
        <v>174</v>
      </c>
      <c r="AG368" s="1178" t="s">
        <v>1386</v>
      </c>
      <c r="AH368" s="660">
        <f>((55*$R$368)+(0.95*$R$369)+(100000*$R$367)+$R$370+$R$372+$R$376+$T$374)*(1+$T$376)</f>
        <v>5661.2206584634614</v>
      </c>
      <c r="AI368" s="660">
        <v>4689.1499999999996</v>
      </c>
      <c r="AJ368" s="660">
        <v>3458.31</v>
      </c>
      <c r="AK368" s="660"/>
      <c r="AL368" s="660"/>
      <c r="AM368" s="660"/>
      <c r="AN368" s="660">
        <v>5482.53</v>
      </c>
      <c r="AO368" s="660">
        <v>4016.71</v>
      </c>
      <c r="AP368" s="660"/>
      <c r="AQ368" s="660"/>
      <c r="AR368" s="660"/>
      <c r="AS368" s="660"/>
      <c r="AT368" s="660"/>
      <c r="AU368" s="660"/>
      <c r="AV368" s="660"/>
      <c r="AW368" s="660"/>
      <c r="AX368" s="660"/>
      <c r="AY368" s="660"/>
      <c r="AZ368" s="660"/>
      <c r="BA368" s="660"/>
      <c r="BB368" s="663">
        <f t="shared" ref="BB368:BB373" si="27">AH368-AVERAGE(AI368:BA368)</f>
        <v>1249.5456584634621</v>
      </c>
      <c r="BC368" s="685">
        <f t="shared" ref="BC368:BC373" si="28">BB368/AVERAGE(AI368:BA368)</f>
        <v>0.283236108385922</v>
      </c>
      <c r="BD368" s="477">
        <f t="shared" ref="BD368:BD373" si="29">MIN(AI368:BA368)</f>
        <v>3458.31</v>
      </c>
      <c r="BE368" s="477">
        <f t="shared" ref="BE368:BE373" si="30">MAX(AI368:BA368)</f>
        <v>5482.53</v>
      </c>
      <c r="BF368" s="685">
        <f t="shared" ref="BF368:BF373" si="31">(BE368-BD368)/BE368</f>
        <v>0.36921275396577857</v>
      </c>
      <c r="BG368" s="477"/>
      <c r="BH368" s="432"/>
      <c r="CF368" s="331"/>
      <c r="CG368" s="331"/>
      <c r="CH368" s="331"/>
      <c r="CI368" s="331"/>
      <c r="CJ368" s="331"/>
      <c r="CK368" s="331"/>
      <c r="CL368" s="331"/>
      <c r="CM368" s="331"/>
      <c r="CN368" s="331"/>
      <c r="CO368" s="331"/>
      <c r="CP368" s="331"/>
      <c r="CQ368" s="331"/>
      <c r="CR368" s="331"/>
      <c r="CS368" s="331"/>
      <c r="CT368" s="331"/>
      <c r="CU368" s="331"/>
      <c r="CV368" s="331"/>
      <c r="CW368" s="331"/>
      <c r="CX368" s="331"/>
      <c r="CY368" s="331"/>
      <c r="CZ368" s="331"/>
      <c r="DA368" s="331"/>
      <c r="DB368" s="331"/>
      <c r="DC368" s="331"/>
      <c r="DD368" s="331"/>
      <c r="DE368" s="331"/>
      <c r="DF368" s="331"/>
      <c r="DG368" s="331"/>
      <c r="DH368" s="331"/>
      <c r="DI368" s="848"/>
      <c r="DJ368" s="331"/>
      <c r="DK368" s="331"/>
      <c r="DL368" s="331"/>
      <c r="DM368" s="331"/>
      <c r="DN368" s="331"/>
      <c r="DO368" s="331"/>
      <c r="DP368" s="331"/>
      <c r="DQ368" s="331"/>
      <c r="DR368" s="331"/>
      <c r="DS368" s="331"/>
    </row>
    <row r="369" spans="1:123" s="1175" customFormat="1">
      <c r="A369" s="2311"/>
      <c r="B369" s="1176" t="s">
        <v>1387</v>
      </c>
      <c r="C369" s="1080" t="s">
        <v>853</v>
      </c>
      <c r="D369" s="668" t="s">
        <v>1388</v>
      </c>
      <c r="E369" s="1177">
        <v>65</v>
      </c>
      <c r="F369" s="1109">
        <v>0.84256900000000001</v>
      </c>
      <c r="G369" s="1109">
        <v>6.6915000000000002E-2</v>
      </c>
      <c r="H369" s="1105">
        <v>6603.16</v>
      </c>
      <c r="I369" s="1105">
        <v>3412.96</v>
      </c>
      <c r="J369" s="724" t="s">
        <v>853</v>
      </c>
      <c r="K369" s="844" t="s">
        <v>1389</v>
      </c>
      <c r="L369" s="834" t="s">
        <v>35</v>
      </c>
      <c r="M369" s="697" t="s">
        <v>35</v>
      </c>
      <c r="N369" s="1099">
        <v>11362.919690000001</v>
      </c>
      <c r="O369" s="1100">
        <v>3.95</v>
      </c>
      <c r="P369" s="1115">
        <v>2877.9658749999999</v>
      </c>
      <c r="Q369" s="485" t="s">
        <v>35</v>
      </c>
      <c r="R369" s="684">
        <f>N369</f>
        <v>11362.919690000001</v>
      </c>
      <c r="S369" s="601" t="s">
        <v>858</v>
      </c>
      <c r="T369" s="499" t="s">
        <v>859</v>
      </c>
      <c r="U369" s="470"/>
      <c r="V369" s="2314"/>
      <c r="W369" s="40" t="s">
        <v>174</v>
      </c>
      <c r="X369" s="583" t="s">
        <v>1390</v>
      </c>
      <c r="Y369" s="660">
        <f>((75*$R$368)+(0.9*$R$369)+(125000*$R$367)+$R$370+$R$372+$R$376+$T$374)*(1+$T$376)</f>
        <v>6020.6701962884636</v>
      </c>
      <c r="Z369" s="660">
        <f>Y369-Y367</f>
        <v>1134.6782843499977</v>
      </c>
      <c r="AA369" s="661">
        <f>(0.9-0.8)*$P$369</f>
        <v>287.79658749999993</v>
      </c>
      <c r="AB369" s="722"/>
      <c r="AC369" s="525"/>
      <c r="AD369" s="490" t="s">
        <v>874</v>
      </c>
      <c r="AE369" s="968">
        <f>STDEV($BC$367:$BC$373)</f>
        <v>0.15129843200233162</v>
      </c>
      <c r="AF369" s="1106" t="s">
        <v>174</v>
      </c>
      <c r="AG369" s="1178" t="s">
        <v>1391</v>
      </c>
      <c r="AH369" s="660">
        <f>((100*$R$368)+(0.92*$R$369)+(400000*$R$367)+$R$370+$R$372+$R$376+$T$374)*(1+$T$376)</f>
        <v>10712.767249158464</v>
      </c>
      <c r="AI369" s="660">
        <v>9235</v>
      </c>
      <c r="AJ369" s="660"/>
      <c r="AK369" s="660"/>
      <c r="AL369" s="660"/>
      <c r="AM369" s="660"/>
      <c r="AN369" s="660"/>
      <c r="AO369" s="660">
        <v>8572</v>
      </c>
      <c r="AP369" s="660">
        <v>5579</v>
      </c>
      <c r="AQ369" s="660">
        <v>9181.76</v>
      </c>
      <c r="AR369" s="660">
        <v>11264</v>
      </c>
      <c r="AS369" s="660"/>
      <c r="AT369" s="660">
        <v>9959</v>
      </c>
      <c r="AU369" s="660">
        <v>8246</v>
      </c>
      <c r="AV369" s="660">
        <v>11058</v>
      </c>
      <c r="AW369" s="660"/>
      <c r="AX369" s="660"/>
      <c r="AY369" s="660"/>
      <c r="AZ369" s="660"/>
      <c r="BA369" s="660"/>
      <c r="BB369" s="663">
        <f t="shared" si="27"/>
        <v>1575.9222491584624</v>
      </c>
      <c r="BC369" s="685">
        <f t="shared" si="28"/>
        <v>0.17247991502082635</v>
      </c>
      <c r="BD369" s="477">
        <f t="shared" si="29"/>
        <v>5579</v>
      </c>
      <c r="BE369" s="477">
        <f t="shared" si="30"/>
        <v>11264</v>
      </c>
      <c r="BF369" s="685">
        <f t="shared" si="31"/>
        <v>0.50470525568181823</v>
      </c>
      <c r="BG369" s="477"/>
      <c r="BH369" s="432"/>
      <c r="CF369" s="331"/>
      <c r="CG369" s="331"/>
      <c r="CH369" s="331"/>
      <c r="CI369" s="331"/>
      <c r="CJ369" s="331"/>
      <c r="CK369" s="331"/>
      <c r="CL369" s="331"/>
      <c r="CM369" s="331"/>
      <c r="CN369" s="331"/>
      <c r="CO369" s="331"/>
      <c r="CP369" s="331"/>
      <c r="CQ369" s="331"/>
      <c r="CR369" s="331"/>
      <c r="CS369" s="331"/>
      <c r="CT369" s="331"/>
      <c r="CU369" s="331"/>
      <c r="CV369" s="331"/>
      <c r="CW369" s="331"/>
      <c r="CX369" s="331"/>
      <c r="CY369" s="331"/>
      <c r="CZ369" s="331"/>
      <c r="DA369" s="331"/>
      <c r="DB369" s="331"/>
      <c r="DC369" s="331"/>
      <c r="DD369" s="331"/>
      <c r="DE369" s="331"/>
      <c r="DF369" s="331"/>
      <c r="DG369" s="331"/>
      <c r="DH369" s="331"/>
      <c r="DI369" s="848"/>
      <c r="DJ369" s="331"/>
      <c r="DK369" s="331"/>
      <c r="DL369" s="331"/>
      <c r="DM369" s="331"/>
      <c r="DN369" s="331"/>
      <c r="DO369" s="331"/>
      <c r="DP369" s="331"/>
      <c r="DQ369" s="331"/>
      <c r="DR369" s="331"/>
      <c r="DS369" s="331"/>
    </row>
    <row r="370" spans="1:123" s="1175" customFormat="1">
      <c r="A370" s="2311"/>
      <c r="B370" s="2315" t="s">
        <v>1392</v>
      </c>
      <c r="C370" s="2303" t="s">
        <v>839</v>
      </c>
      <c r="D370" s="837" t="s">
        <v>840</v>
      </c>
      <c r="E370" s="837">
        <v>25</v>
      </c>
      <c r="F370" s="852" t="s">
        <v>35</v>
      </c>
      <c r="G370" s="501" t="s">
        <v>35</v>
      </c>
      <c r="H370" s="1105">
        <v>8471.5300000000007</v>
      </c>
      <c r="I370" s="1105">
        <v>2967.61</v>
      </c>
      <c r="J370" s="834" t="s">
        <v>35</v>
      </c>
      <c r="K370" s="697" t="s">
        <v>35</v>
      </c>
      <c r="L370" s="834" t="s">
        <v>35</v>
      </c>
      <c r="M370" s="697" t="s">
        <v>35</v>
      </c>
      <c r="N370" s="1099">
        <v>945.48841000000004</v>
      </c>
      <c r="O370" s="1100">
        <v>2.5499999999999998</v>
      </c>
      <c r="P370" s="1115">
        <v>370.601474</v>
      </c>
      <c r="Q370" s="684">
        <f t="shared" ref="Q370:Q375" si="32">E370/$E$369</f>
        <v>0.38461538461538464</v>
      </c>
      <c r="R370" s="2317">
        <f>SUMPRODUCT(Q370:Q371,N370:N371)</f>
        <v>363.64938846153848</v>
      </c>
      <c r="S370" s="981" t="s">
        <v>310</v>
      </c>
      <c r="T370" s="749" t="s">
        <v>1019</v>
      </c>
      <c r="U370" s="591"/>
      <c r="V370" s="1179"/>
      <c r="W370" s="525"/>
      <c r="X370" s="525"/>
      <c r="Y370" s="515"/>
      <c r="Z370" s="515"/>
      <c r="AA370" s="515"/>
      <c r="AB370" s="454"/>
      <c r="AC370" s="525"/>
      <c r="AD370" s="490" t="s">
        <v>977</v>
      </c>
      <c r="AE370" s="968">
        <f>MIN($BC$367:$BC$373)</f>
        <v>-3.7860675241580134E-2</v>
      </c>
      <c r="AF370" s="1106" t="s">
        <v>174</v>
      </c>
      <c r="AG370" s="1178" t="s">
        <v>1393</v>
      </c>
      <c r="AH370" s="660">
        <f>((130*$R$368)+(0.96*$R$369)+(300000*$R$367)+$R$370+$R$372+$R$376+$T$374)*(1+$T$376)</f>
        <v>10969.456434898462</v>
      </c>
      <c r="AI370" s="660"/>
      <c r="AJ370" s="660"/>
      <c r="AK370" s="660">
        <v>10510</v>
      </c>
      <c r="AL370" s="660">
        <v>9579.9500000000007</v>
      </c>
      <c r="AM370" s="660"/>
      <c r="AN370" s="660">
        <v>11921.94</v>
      </c>
      <c r="AO370" s="660">
        <v>8374.77</v>
      </c>
      <c r="AP370" s="660"/>
      <c r="AQ370" s="660"/>
      <c r="AR370" s="660"/>
      <c r="AS370" s="660"/>
      <c r="AT370" s="660"/>
      <c r="AU370" s="660"/>
      <c r="AV370" s="660"/>
      <c r="AW370" s="660"/>
      <c r="AX370" s="660"/>
      <c r="AY370" s="660">
        <v>12062</v>
      </c>
      <c r="AZ370" s="660"/>
      <c r="BA370" s="660"/>
      <c r="BB370" s="663">
        <f t="shared" si="27"/>
        <v>479.72443489846228</v>
      </c>
      <c r="BC370" s="685">
        <f t="shared" si="28"/>
        <v>4.5732763706304629E-2</v>
      </c>
      <c r="BD370" s="477">
        <f t="shared" si="29"/>
        <v>8374.77</v>
      </c>
      <c r="BE370" s="477">
        <f t="shared" si="30"/>
        <v>12062</v>
      </c>
      <c r="BF370" s="685">
        <f t="shared" si="31"/>
        <v>0.3056897695241253</v>
      </c>
      <c r="BG370" s="477"/>
      <c r="BH370" s="432"/>
      <c r="CF370" s="331"/>
      <c r="CG370" s="331"/>
      <c r="CH370" s="331"/>
      <c r="CI370" s="331"/>
      <c r="CJ370" s="331"/>
      <c r="CK370" s="331"/>
      <c r="CL370" s="331"/>
      <c r="CM370" s="331"/>
      <c r="CN370" s="331"/>
      <c r="CO370" s="331"/>
      <c r="CP370" s="331"/>
      <c r="CQ370" s="331"/>
      <c r="CR370" s="331"/>
      <c r="CS370" s="331"/>
      <c r="CT370" s="331"/>
      <c r="CU370" s="331"/>
      <c r="CV370" s="331"/>
      <c r="CW370" s="331"/>
      <c r="CX370" s="331"/>
      <c r="CY370" s="331"/>
      <c r="CZ370" s="331"/>
      <c r="DA370" s="331"/>
      <c r="DB370" s="331"/>
      <c r="DC370" s="331"/>
      <c r="DD370" s="331"/>
      <c r="DE370" s="331"/>
      <c r="DF370" s="331"/>
      <c r="DG370" s="331"/>
      <c r="DH370" s="331"/>
      <c r="DI370" s="848"/>
      <c r="DJ370" s="331"/>
      <c r="DK370" s="331"/>
      <c r="DL370" s="331"/>
      <c r="DM370" s="331"/>
      <c r="DN370" s="331"/>
      <c r="DO370" s="331"/>
      <c r="DP370" s="331"/>
      <c r="DQ370" s="331"/>
      <c r="DR370" s="331"/>
      <c r="DS370" s="331"/>
    </row>
    <row r="371" spans="1:123" s="432" customFormat="1" hidden="1">
      <c r="A371" s="2311"/>
      <c r="B371" s="2315"/>
      <c r="C371" s="2316"/>
      <c r="D371" s="837" t="s">
        <v>64</v>
      </c>
      <c r="E371" s="837">
        <v>40</v>
      </c>
      <c r="F371" s="852" t="s">
        <v>35</v>
      </c>
      <c r="G371" s="501" t="s">
        <v>35</v>
      </c>
      <c r="H371" s="1105">
        <v>5435.43</v>
      </c>
      <c r="I371" s="1105">
        <v>3171.64</v>
      </c>
      <c r="J371" s="834" t="s">
        <v>35</v>
      </c>
      <c r="K371" s="697" t="s">
        <v>35</v>
      </c>
      <c r="L371" s="834" t="s">
        <v>35</v>
      </c>
      <c r="M371" s="697" t="s">
        <v>35</v>
      </c>
      <c r="N371" s="1180">
        <v>0</v>
      </c>
      <c r="O371" s="484" t="s">
        <v>847</v>
      </c>
      <c r="P371" s="484" t="s">
        <v>847</v>
      </c>
      <c r="Q371" s="684">
        <f t="shared" si="32"/>
        <v>0.61538461538461542</v>
      </c>
      <c r="R371" s="2317"/>
      <c r="S371" s="601" t="s">
        <v>868</v>
      </c>
      <c r="T371" s="499" t="s">
        <v>869</v>
      </c>
      <c r="U371" s="470"/>
      <c r="V371" s="1179"/>
      <c r="W371" s="525"/>
      <c r="X371" s="525"/>
      <c r="Y371" s="515"/>
      <c r="Z371" s="515"/>
      <c r="AA371" s="515"/>
      <c r="AB371" s="454"/>
      <c r="AC371" s="525"/>
      <c r="AD371" s="490" t="s">
        <v>978</v>
      </c>
      <c r="AE371" s="968">
        <f>MAX($BC$367:$BC$373)</f>
        <v>0.39774332375677102</v>
      </c>
      <c r="AF371" s="1106" t="s">
        <v>174</v>
      </c>
      <c r="AG371" s="1178" t="s">
        <v>1394</v>
      </c>
      <c r="AH371" s="660">
        <f>((100*$R$368)+(0.82*$R$369)+(199900*$R$367)+$R$370+$R$372+$R$376+$T$374)*(1+$T$376)</f>
        <v>6808.0331348084646</v>
      </c>
      <c r="AI371" s="660">
        <v>4595.07</v>
      </c>
      <c r="AJ371" s="660">
        <v>3730.59</v>
      </c>
      <c r="AK371" s="660"/>
      <c r="AL371" s="660"/>
      <c r="AM371" s="660"/>
      <c r="AN371" s="660"/>
      <c r="AO371" s="660">
        <v>5236</v>
      </c>
      <c r="AP371" s="660"/>
      <c r="AQ371" s="660"/>
      <c r="AR371" s="660">
        <v>4100</v>
      </c>
      <c r="AS371" s="660"/>
      <c r="AT371" s="660"/>
      <c r="AU371" s="660"/>
      <c r="AV371" s="660"/>
      <c r="AW371" s="660"/>
      <c r="AX371" s="660"/>
      <c r="AY371" s="660"/>
      <c r="AZ371" s="660">
        <v>6692</v>
      </c>
      <c r="BA371" s="660"/>
      <c r="BB371" s="663">
        <f t="shared" si="27"/>
        <v>1937.3011348084647</v>
      </c>
      <c r="BC371" s="685">
        <f t="shared" si="28"/>
        <v>0.39774332375677102</v>
      </c>
      <c r="BD371" s="477">
        <f t="shared" si="29"/>
        <v>3730.59</v>
      </c>
      <c r="BE371" s="477">
        <f t="shared" si="30"/>
        <v>6692</v>
      </c>
      <c r="BF371" s="685">
        <f t="shared" si="31"/>
        <v>0.44252988643156005</v>
      </c>
      <c r="BG371" s="477"/>
      <c r="BI371" s="95"/>
      <c r="BJ371" s="95"/>
      <c r="BK371" s="95"/>
      <c r="BL371" s="95"/>
      <c r="BM371" s="95"/>
      <c r="BN371" s="95"/>
      <c r="BO371" s="95"/>
      <c r="BP371" s="95"/>
      <c r="BQ371" s="95"/>
      <c r="BR371" s="95"/>
      <c r="BS371" s="95"/>
      <c r="BT371" s="95"/>
      <c r="BU371" s="95"/>
      <c r="BV371" s="95"/>
      <c r="BW371" s="95"/>
      <c r="BX371" s="95"/>
      <c r="BY371" s="95"/>
      <c r="BZ371" s="95"/>
      <c r="CA371" s="95"/>
      <c r="CB371" s="95"/>
      <c r="CC371" s="95"/>
      <c r="CD371" s="95"/>
      <c r="CE371" s="95"/>
      <c r="CF371" s="433"/>
      <c r="CG371" s="433"/>
      <c r="CH371" s="433"/>
      <c r="CI371" s="433"/>
      <c r="CJ371" s="433"/>
      <c r="CK371" s="433"/>
      <c r="CL371" s="433"/>
      <c r="CM371" s="433"/>
      <c r="CN371" s="433"/>
      <c r="CO371" s="433"/>
      <c r="CP371" s="433"/>
      <c r="CQ371" s="433"/>
      <c r="CR371" s="433"/>
      <c r="CS371" s="433"/>
      <c r="CT371" s="433"/>
      <c r="CU371" s="433"/>
      <c r="CV371" s="433"/>
      <c r="CW371" s="433"/>
      <c r="CX371" s="433"/>
      <c r="CY371" s="433"/>
      <c r="CZ371" s="433"/>
      <c r="DA371" s="433"/>
      <c r="DB371" s="433"/>
      <c r="DC371" s="433"/>
      <c r="DD371" s="433"/>
      <c r="DE371" s="433"/>
      <c r="DF371" s="433"/>
      <c r="DG371" s="433"/>
      <c r="DH371" s="433"/>
      <c r="DI371" s="435"/>
      <c r="DJ371" s="433"/>
      <c r="DK371" s="433"/>
      <c r="DL371" s="433"/>
      <c r="DM371" s="433"/>
      <c r="DN371" s="433"/>
      <c r="DO371" s="433"/>
      <c r="DP371" s="433"/>
      <c r="DQ371" s="433"/>
      <c r="DR371" s="433"/>
      <c r="DS371" s="433"/>
    </row>
    <row r="372" spans="1:123" s="432" customFormat="1" hidden="1">
      <c r="A372" s="2311"/>
      <c r="B372" s="2315" t="s">
        <v>1395</v>
      </c>
      <c r="C372" s="2287" t="s">
        <v>862</v>
      </c>
      <c r="D372" s="668" t="s">
        <v>1396</v>
      </c>
      <c r="E372" s="1177">
        <v>44</v>
      </c>
      <c r="F372" s="852" t="s">
        <v>35</v>
      </c>
      <c r="G372" s="501" t="s">
        <v>35</v>
      </c>
      <c r="H372" s="1105">
        <v>8233.98</v>
      </c>
      <c r="I372" s="1105">
        <v>2607.0700000000002</v>
      </c>
      <c r="J372" s="834" t="s">
        <v>35</v>
      </c>
      <c r="K372" s="697" t="s">
        <v>35</v>
      </c>
      <c r="L372" s="834" t="s">
        <v>35</v>
      </c>
      <c r="M372" s="697" t="s">
        <v>35</v>
      </c>
      <c r="N372" s="1180">
        <v>3778.6696400000001</v>
      </c>
      <c r="O372" s="1181">
        <v>2.58</v>
      </c>
      <c r="P372" s="1181">
        <v>1464.451607</v>
      </c>
      <c r="Q372" s="684">
        <f t="shared" si="32"/>
        <v>0.67692307692307696</v>
      </c>
      <c r="R372" s="2317">
        <f>SUMPRODUCT(Q372:Q375,N372:N375)</f>
        <v>2564.9649186153847</v>
      </c>
      <c r="S372" s="567">
        <v>65</v>
      </c>
      <c r="T372" s="749" t="s">
        <v>35</v>
      </c>
      <c r="U372" s="591"/>
      <c r="V372" s="1179"/>
      <c r="W372" s="525"/>
      <c r="X372" s="525"/>
      <c r="Y372" s="515"/>
      <c r="Z372" s="515"/>
      <c r="AA372" s="515"/>
      <c r="AB372" s="454"/>
      <c r="AC372" s="525"/>
      <c r="AD372" s="524"/>
      <c r="AE372" s="525"/>
      <c r="AF372" s="1106" t="s">
        <v>174</v>
      </c>
      <c r="AG372" s="1178" t="s">
        <v>1397</v>
      </c>
      <c r="AH372" s="660">
        <f>((80*$R$368)+(0.94*$R$369)+(150000*$R$367)+$R$370+$R$372+$R$376+$T$374)*(1+$T$376)</f>
        <v>7040.0094820284658</v>
      </c>
      <c r="AI372" s="660"/>
      <c r="AJ372" s="660"/>
      <c r="AK372" s="660"/>
      <c r="AL372" s="660"/>
      <c r="AM372" s="660">
        <v>4297</v>
      </c>
      <c r="AN372" s="660"/>
      <c r="AO372" s="660">
        <v>5105</v>
      </c>
      <c r="AP372" s="660"/>
      <c r="AQ372" s="660">
        <v>4576.6899999999996</v>
      </c>
      <c r="AR372" s="660"/>
      <c r="AS372" s="660"/>
      <c r="AT372" s="660"/>
      <c r="AU372" s="660">
        <v>6017</v>
      </c>
      <c r="AV372" s="660"/>
      <c r="AW372" s="660"/>
      <c r="AX372" s="660"/>
      <c r="AY372" s="660"/>
      <c r="AZ372" s="660"/>
      <c r="BA372" s="660">
        <v>7101</v>
      </c>
      <c r="BB372" s="663">
        <f t="shared" si="27"/>
        <v>1620.671482028466</v>
      </c>
      <c r="BC372" s="685">
        <f t="shared" si="28"/>
        <v>0.29905340505214217</v>
      </c>
      <c r="BD372" s="477">
        <f t="shared" si="29"/>
        <v>4297</v>
      </c>
      <c r="BE372" s="477">
        <f t="shared" si="30"/>
        <v>7101</v>
      </c>
      <c r="BF372" s="685">
        <f t="shared" si="31"/>
        <v>0.39487396141388537</v>
      </c>
      <c r="BG372" s="477"/>
      <c r="BI372" s="95"/>
      <c r="BJ372" s="95"/>
      <c r="BK372" s="95"/>
      <c r="BL372" s="95"/>
      <c r="BM372" s="95"/>
      <c r="BN372" s="95"/>
      <c r="BO372" s="95"/>
      <c r="BP372" s="95"/>
      <c r="BQ372" s="95"/>
      <c r="BR372" s="95"/>
      <c r="BS372" s="95"/>
      <c r="BT372" s="95"/>
      <c r="BU372" s="95"/>
      <c r="BV372" s="95"/>
      <c r="BW372" s="95"/>
      <c r="BX372" s="95"/>
      <c r="BY372" s="95"/>
      <c r="BZ372" s="95"/>
      <c r="CA372" s="95"/>
      <c r="CB372" s="95"/>
      <c r="CC372" s="95"/>
      <c r="CD372" s="95"/>
      <c r="CE372" s="95"/>
      <c r="CF372" s="433"/>
      <c r="CG372" s="433"/>
      <c r="CH372" s="433"/>
      <c r="CI372" s="433"/>
      <c r="CJ372" s="433"/>
      <c r="CK372" s="433"/>
      <c r="CL372" s="433"/>
      <c r="CM372" s="433"/>
      <c r="CN372" s="433"/>
      <c r="CO372" s="433"/>
      <c r="CP372" s="433"/>
      <c r="CQ372" s="433"/>
      <c r="CR372" s="433"/>
      <c r="CS372" s="433"/>
      <c r="CT372" s="433"/>
      <c r="CU372" s="433"/>
      <c r="CV372" s="433"/>
      <c r="CW372" s="433"/>
      <c r="CX372" s="433"/>
      <c r="CY372" s="433"/>
      <c r="CZ372" s="433"/>
      <c r="DA372" s="433"/>
      <c r="DB372" s="433"/>
      <c r="DC372" s="433"/>
      <c r="DD372" s="433"/>
      <c r="DE372" s="433"/>
      <c r="DF372" s="433"/>
      <c r="DG372" s="433"/>
      <c r="DH372" s="433"/>
      <c r="DI372" s="435"/>
      <c r="DJ372" s="433"/>
      <c r="DK372" s="433"/>
      <c r="DL372" s="433"/>
      <c r="DM372" s="433"/>
      <c r="DN372" s="433"/>
      <c r="DO372" s="433"/>
      <c r="DP372" s="433"/>
      <c r="DQ372" s="433"/>
      <c r="DR372" s="433"/>
      <c r="DS372" s="433"/>
    </row>
    <row r="373" spans="1:123" s="432" customFormat="1" hidden="1">
      <c r="A373" s="2311"/>
      <c r="B373" s="2315"/>
      <c r="C373" s="2318"/>
      <c r="D373" s="668" t="s">
        <v>1398</v>
      </c>
      <c r="E373" s="1177">
        <v>5</v>
      </c>
      <c r="F373" s="852" t="s">
        <v>35</v>
      </c>
      <c r="G373" s="501" t="s">
        <v>35</v>
      </c>
      <c r="H373" s="1105">
        <v>1300.83</v>
      </c>
      <c r="I373" s="1105">
        <v>593.36</v>
      </c>
      <c r="J373" s="834" t="s">
        <v>35</v>
      </c>
      <c r="K373" s="697" t="s">
        <v>35</v>
      </c>
      <c r="L373" s="834" t="s">
        <v>35</v>
      </c>
      <c r="M373" s="697" t="s">
        <v>35</v>
      </c>
      <c r="N373" s="1180">
        <v>0</v>
      </c>
      <c r="O373" s="484" t="s">
        <v>847</v>
      </c>
      <c r="P373" s="484" t="s">
        <v>847</v>
      </c>
      <c r="Q373" s="684">
        <f t="shared" si="32"/>
        <v>7.6923076923076927E-2</v>
      </c>
      <c r="R373" s="2317"/>
      <c r="S373" s="601" t="s">
        <v>876</v>
      </c>
      <c r="T373" s="499" t="s">
        <v>877</v>
      </c>
      <c r="U373" s="470"/>
      <c r="V373" s="1179"/>
      <c r="W373" s="525"/>
      <c r="X373" s="525"/>
      <c r="Y373" s="515"/>
      <c r="Z373" s="515"/>
      <c r="AA373" s="515"/>
      <c r="AB373" s="454"/>
      <c r="AC373" s="525"/>
      <c r="AD373" s="524"/>
      <c r="AE373" s="525"/>
      <c r="AF373" s="1106" t="s">
        <v>174</v>
      </c>
      <c r="AG373" s="1178" t="s">
        <v>1399</v>
      </c>
      <c r="AH373" s="660">
        <f>((100*$R$368)+(0.8*$R$369)+(199900*$R$367)+$R$370+$R$372+$R$376+$T$374)*(1+$T$376)</f>
        <v>6546.6859819384663</v>
      </c>
      <c r="AI373" s="660">
        <v>7511</v>
      </c>
      <c r="AJ373" s="660"/>
      <c r="AK373" s="660">
        <v>7155</v>
      </c>
      <c r="AL373" s="660"/>
      <c r="AM373" s="660">
        <v>5536.11</v>
      </c>
      <c r="AN373" s="660">
        <v>6963</v>
      </c>
      <c r="AO373" s="660"/>
      <c r="AP373" s="660"/>
      <c r="AQ373" s="660"/>
      <c r="AR373" s="660">
        <v>5620</v>
      </c>
      <c r="AS373" s="660">
        <v>6935</v>
      </c>
      <c r="AT373" s="660"/>
      <c r="AU373" s="660">
        <v>7910</v>
      </c>
      <c r="AV373" s="660"/>
      <c r="AW373" s="660"/>
      <c r="AX373" s="660"/>
      <c r="AY373" s="660"/>
      <c r="AZ373" s="660"/>
      <c r="BA373" s="660"/>
      <c r="BB373" s="663">
        <f t="shared" si="27"/>
        <v>-257.61544663296263</v>
      </c>
      <c r="BC373" s="685">
        <f t="shared" si="28"/>
        <v>-3.7860675241580134E-2</v>
      </c>
      <c r="BD373" s="477">
        <f t="shared" si="29"/>
        <v>5536.11</v>
      </c>
      <c r="BE373" s="477">
        <f t="shared" si="30"/>
        <v>7910</v>
      </c>
      <c r="BF373" s="685">
        <f t="shared" si="31"/>
        <v>0.30011251580278131</v>
      </c>
      <c r="BG373" s="477"/>
      <c r="BI373" s="95"/>
      <c r="BJ373" s="95"/>
      <c r="BK373" s="95"/>
      <c r="BL373" s="95"/>
      <c r="BM373" s="95"/>
      <c r="BN373" s="95"/>
      <c r="BO373" s="95"/>
      <c r="BP373" s="95"/>
      <c r="BQ373" s="95"/>
      <c r="BR373" s="95"/>
      <c r="BS373" s="95"/>
      <c r="BT373" s="95"/>
      <c r="BU373" s="95"/>
      <c r="BV373" s="95"/>
      <c r="BW373" s="95"/>
      <c r="BX373" s="95"/>
      <c r="BY373" s="95"/>
      <c r="BZ373" s="95"/>
      <c r="CA373" s="95"/>
      <c r="CB373" s="95"/>
      <c r="CC373" s="95"/>
      <c r="CD373" s="95"/>
      <c r="CE373" s="95"/>
      <c r="CF373" s="433"/>
      <c r="CG373" s="433"/>
      <c r="CH373" s="433"/>
      <c r="CI373" s="433"/>
      <c r="CJ373" s="433"/>
      <c r="CK373" s="433"/>
      <c r="CL373" s="433"/>
      <c r="CM373" s="433"/>
      <c r="CN373" s="433"/>
      <c r="CO373" s="433"/>
      <c r="CP373" s="433"/>
      <c r="CQ373" s="433"/>
      <c r="CR373" s="433"/>
      <c r="CS373" s="433"/>
      <c r="CT373" s="433"/>
      <c r="CU373" s="433"/>
      <c r="CV373" s="433"/>
      <c r="CW373" s="433"/>
      <c r="CX373" s="433"/>
      <c r="CY373" s="433"/>
      <c r="CZ373" s="433"/>
      <c r="DA373" s="433"/>
      <c r="DB373" s="433"/>
      <c r="DC373" s="433"/>
      <c r="DD373" s="433"/>
      <c r="DE373" s="433"/>
      <c r="DF373" s="433"/>
      <c r="DG373" s="433"/>
      <c r="DH373" s="433"/>
      <c r="DI373" s="435"/>
      <c r="DJ373" s="433"/>
      <c r="DK373" s="433"/>
      <c r="DL373" s="433"/>
      <c r="DM373" s="433"/>
      <c r="DN373" s="433"/>
      <c r="DO373" s="433"/>
      <c r="DP373" s="433"/>
      <c r="DQ373" s="433"/>
      <c r="DR373" s="433"/>
      <c r="DS373" s="433"/>
    </row>
    <row r="374" spans="1:123" s="432" customFormat="1" hidden="1">
      <c r="A374" s="2311"/>
      <c r="B374" s="2315"/>
      <c r="C374" s="2318"/>
      <c r="D374" s="668" t="s">
        <v>1400</v>
      </c>
      <c r="E374" s="1177">
        <v>1</v>
      </c>
      <c r="F374" s="852" t="s">
        <v>35</v>
      </c>
      <c r="G374" s="501" t="s">
        <v>35</v>
      </c>
      <c r="H374" s="1105">
        <v>2032.19</v>
      </c>
      <c r="I374" s="1105" t="s">
        <v>926</v>
      </c>
      <c r="J374" s="834" t="s">
        <v>35</v>
      </c>
      <c r="K374" s="697" t="s">
        <v>35</v>
      </c>
      <c r="L374" s="834" t="s">
        <v>35</v>
      </c>
      <c r="M374" s="697" t="s">
        <v>35</v>
      </c>
      <c r="N374" s="1180">
        <v>0</v>
      </c>
      <c r="O374" s="484" t="s">
        <v>847</v>
      </c>
      <c r="P374" s="484" t="s">
        <v>847</v>
      </c>
      <c r="Q374" s="684">
        <f t="shared" si="32"/>
        <v>1.5384615384615385E-2</v>
      </c>
      <c r="R374" s="2317"/>
      <c r="S374" s="1107">
        <v>0.87611399999999995</v>
      </c>
      <c r="T374" s="1091">
        <v>-11575.35464</v>
      </c>
      <c r="U374" s="1092"/>
      <c r="V374" s="1179"/>
      <c r="W374" s="525"/>
      <c r="X374" s="525"/>
      <c r="Y374" s="515"/>
      <c r="Z374" s="515"/>
      <c r="AA374" s="515"/>
      <c r="AB374" s="454"/>
      <c r="AC374" s="525"/>
      <c r="AD374" s="524"/>
      <c r="AE374" s="525"/>
      <c r="AF374" s="757"/>
      <c r="AG374" s="525"/>
      <c r="AH374" s="477"/>
      <c r="AI374" s="477"/>
      <c r="AJ374" s="477"/>
      <c r="AK374" s="477"/>
      <c r="AL374" s="477"/>
      <c r="AM374" s="477"/>
      <c r="AN374" s="477"/>
      <c r="AO374" s="477"/>
      <c r="AP374" s="477"/>
      <c r="AQ374" s="477"/>
      <c r="AR374" s="477"/>
      <c r="AS374" s="477"/>
      <c r="AT374" s="477"/>
      <c r="AU374" s="477"/>
      <c r="AV374" s="477"/>
      <c r="AW374" s="477"/>
      <c r="AX374" s="477"/>
      <c r="AY374" s="477"/>
      <c r="AZ374" s="477"/>
      <c r="BA374" s="477"/>
      <c r="BB374" s="477"/>
      <c r="BC374" s="477"/>
      <c r="BD374" s="477"/>
      <c r="BE374" s="477"/>
      <c r="BF374" s="477"/>
      <c r="BG374" s="477"/>
      <c r="BI374" s="95"/>
      <c r="BJ374" s="95"/>
      <c r="BK374" s="95"/>
      <c r="BL374" s="95"/>
      <c r="BM374" s="95"/>
      <c r="BN374" s="95"/>
      <c r="BO374" s="95"/>
      <c r="BP374" s="95"/>
      <c r="BQ374" s="95"/>
      <c r="BR374" s="95"/>
      <c r="BS374" s="95"/>
      <c r="BT374" s="95"/>
      <c r="BU374" s="95"/>
      <c r="BV374" s="95"/>
      <c r="BW374" s="95"/>
      <c r="BX374" s="95"/>
      <c r="BY374" s="95"/>
      <c r="BZ374" s="95"/>
      <c r="CA374" s="95"/>
      <c r="CB374" s="95"/>
      <c r="CC374" s="95"/>
      <c r="CD374" s="95"/>
      <c r="CE374" s="95"/>
      <c r="CF374" s="433"/>
      <c r="CG374" s="433"/>
      <c r="CH374" s="433"/>
      <c r="CI374" s="433"/>
      <c r="CJ374" s="433"/>
      <c r="CK374" s="433"/>
      <c r="CL374" s="433"/>
      <c r="CM374" s="433"/>
      <c r="CN374" s="433"/>
      <c r="CO374" s="433"/>
      <c r="CP374" s="433"/>
      <c r="CQ374" s="433"/>
      <c r="CR374" s="433"/>
      <c r="CS374" s="433"/>
      <c r="CT374" s="433"/>
      <c r="CU374" s="433"/>
      <c r="CV374" s="433"/>
      <c r="CW374" s="433"/>
      <c r="CX374" s="433"/>
      <c r="CY374" s="433"/>
      <c r="CZ374" s="433"/>
      <c r="DA374" s="433"/>
      <c r="DB374" s="433"/>
      <c r="DC374" s="433"/>
      <c r="DD374" s="433"/>
      <c r="DE374" s="433"/>
      <c r="DF374" s="433"/>
      <c r="DG374" s="433"/>
      <c r="DH374" s="433"/>
      <c r="DI374" s="435"/>
      <c r="DJ374" s="433"/>
      <c r="DK374" s="433"/>
      <c r="DL374" s="433"/>
      <c r="DM374" s="433"/>
      <c r="DN374" s="433"/>
      <c r="DO374" s="433"/>
      <c r="DP374" s="433"/>
      <c r="DQ374" s="433"/>
      <c r="DR374" s="433"/>
      <c r="DS374" s="433"/>
    </row>
    <row r="375" spans="1:123" s="432" customFormat="1" hidden="1">
      <c r="A375" s="2311"/>
      <c r="B375" s="2315"/>
      <c r="C375" s="2299"/>
      <c r="D375" s="666" t="s">
        <v>1401</v>
      </c>
      <c r="E375" s="1177">
        <v>15</v>
      </c>
      <c r="F375" s="852" t="s">
        <v>35</v>
      </c>
      <c r="G375" s="501" t="s">
        <v>35</v>
      </c>
      <c r="H375" s="1105">
        <v>3891.6</v>
      </c>
      <c r="I375" s="1105">
        <v>2122.0300000000002</v>
      </c>
      <c r="J375" s="834" t="s">
        <v>35</v>
      </c>
      <c r="K375" s="697" t="s">
        <v>35</v>
      </c>
      <c r="L375" s="834" t="s">
        <v>35</v>
      </c>
      <c r="M375" s="697" t="s">
        <v>35</v>
      </c>
      <c r="N375" s="1180">
        <v>30.75037</v>
      </c>
      <c r="O375" s="1181">
        <v>0.02</v>
      </c>
      <c r="P375" s="1181">
        <v>1473.027233</v>
      </c>
      <c r="Q375" s="684">
        <f t="shared" si="32"/>
        <v>0.23076923076923078</v>
      </c>
      <c r="R375" s="2317"/>
      <c r="S375" s="587" t="s">
        <v>883</v>
      </c>
      <c r="T375" s="499" t="s">
        <v>884</v>
      </c>
      <c r="U375" s="470"/>
      <c r="V375" s="1179"/>
      <c r="W375" s="525"/>
      <c r="X375" s="525"/>
      <c r="Y375" s="515"/>
      <c r="Z375" s="515"/>
      <c r="AA375" s="515"/>
      <c r="AB375" s="454"/>
      <c r="AC375" s="525"/>
      <c r="AD375" s="524"/>
      <c r="AE375" s="525"/>
      <c r="AF375" s="757"/>
      <c r="AG375" s="525"/>
      <c r="AH375" s="477"/>
      <c r="AI375" s="477"/>
      <c r="AJ375" s="477"/>
      <c r="AK375" s="477"/>
      <c r="AL375" s="477"/>
      <c r="AM375" s="477"/>
      <c r="AN375" s="477"/>
      <c r="AO375" s="477"/>
      <c r="AP375" s="477"/>
      <c r="AQ375" s="477"/>
      <c r="AR375" s="477"/>
      <c r="AS375" s="477"/>
      <c r="AT375" s="477"/>
      <c r="AU375" s="477"/>
      <c r="AV375" s="477"/>
      <c r="AW375" s="477"/>
      <c r="AX375" s="477"/>
      <c r="AY375" s="477"/>
      <c r="AZ375" s="477"/>
      <c r="BA375" s="477"/>
      <c r="BB375" s="477"/>
      <c r="BC375" s="477"/>
      <c r="BD375" s="477"/>
      <c r="BE375" s="477"/>
      <c r="BF375" s="477"/>
      <c r="BG375" s="477"/>
      <c r="BI375" s="95"/>
      <c r="BJ375" s="95"/>
      <c r="BK375" s="95"/>
      <c r="BL375" s="95"/>
      <c r="BM375" s="95"/>
      <c r="BN375" s="95"/>
      <c r="BO375" s="95"/>
      <c r="BP375" s="95"/>
      <c r="BQ375" s="95"/>
      <c r="BR375" s="95"/>
      <c r="BS375" s="95"/>
      <c r="BT375" s="95"/>
      <c r="BU375" s="95"/>
      <c r="BV375" s="95"/>
      <c r="BW375" s="95"/>
      <c r="BX375" s="95"/>
      <c r="BY375" s="95"/>
      <c r="BZ375" s="95"/>
      <c r="CA375" s="95"/>
      <c r="CB375" s="95"/>
      <c r="CC375" s="95"/>
      <c r="CD375" s="95"/>
      <c r="CE375" s="95"/>
      <c r="CF375" s="433"/>
      <c r="CG375" s="433"/>
      <c r="CH375" s="433"/>
      <c r="CI375" s="433"/>
      <c r="CJ375" s="433"/>
      <c r="CK375" s="433"/>
      <c r="CL375" s="433"/>
      <c r="CM375" s="433"/>
      <c r="CN375" s="433"/>
      <c r="CO375" s="433"/>
      <c r="CP375" s="433"/>
      <c r="CQ375" s="433"/>
      <c r="CR375" s="433"/>
      <c r="CS375" s="433"/>
      <c r="CT375" s="433"/>
      <c r="CU375" s="433"/>
      <c r="CV375" s="433"/>
      <c r="CW375" s="433"/>
      <c r="CX375" s="433"/>
      <c r="CY375" s="433"/>
      <c r="CZ375" s="433"/>
      <c r="DA375" s="433"/>
      <c r="DB375" s="433"/>
      <c r="DC375" s="433"/>
      <c r="DD375" s="433"/>
      <c r="DE375" s="433"/>
      <c r="DF375" s="433"/>
      <c r="DG375" s="433"/>
      <c r="DH375" s="433"/>
      <c r="DI375" s="435"/>
      <c r="DJ375" s="433"/>
      <c r="DK375" s="433"/>
      <c r="DL375" s="433"/>
      <c r="DM375" s="433"/>
      <c r="DN375" s="433"/>
      <c r="DO375" s="433"/>
      <c r="DP375" s="433"/>
      <c r="DQ375" s="433"/>
      <c r="DR375" s="433"/>
      <c r="DS375" s="433"/>
    </row>
    <row r="376" spans="1:123" s="432" customFormat="1" hidden="1">
      <c r="A376" s="2311"/>
      <c r="B376" s="2273" t="s">
        <v>1041</v>
      </c>
      <c r="C376" s="2303" t="s">
        <v>862</v>
      </c>
      <c r="D376" s="837" t="s">
        <v>1307</v>
      </c>
      <c r="E376" s="837">
        <v>60</v>
      </c>
      <c r="F376" s="852" t="s">
        <v>35</v>
      </c>
      <c r="G376" s="501" t="s">
        <v>35</v>
      </c>
      <c r="H376" s="1105">
        <v>7045.02</v>
      </c>
      <c r="I376" s="1105">
        <v>3167.08</v>
      </c>
      <c r="J376" s="834" t="s">
        <v>35</v>
      </c>
      <c r="K376" s="697" t="s">
        <v>35</v>
      </c>
      <c r="L376" s="834" t="s">
        <v>35</v>
      </c>
      <c r="M376" s="697" t="s">
        <v>35</v>
      </c>
      <c r="N376" s="1182">
        <v>74.073009999999996</v>
      </c>
      <c r="O376" s="1096">
        <v>0.05</v>
      </c>
      <c r="P376" s="1096">
        <v>1407.288333</v>
      </c>
      <c r="Q376" s="774">
        <v>0</v>
      </c>
      <c r="R376" s="2305">
        <f>SUMPRODUCT(Q376:Q377,N376:N377)</f>
        <v>0</v>
      </c>
      <c r="S376" s="668">
        <v>862.79100000000005</v>
      </c>
      <c r="T376" s="970">
        <v>0.15</v>
      </c>
      <c r="U376" s="603"/>
      <c r="V376" s="1179"/>
      <c r="W376" s="525"/>
      <c r="X376" s="525"/>
      <c r="Y376" s="515"/>
      <c r="Z376" s="515"/>
      <c r="AA376" s="515"/>
      <c r="AB376" s="454"/>
      <c r="AC376" s="525"/>
      <c r="AD376" s="524"/>
      <c r="AE376" s="525"/>
      <c r="AF376" s="757"/>
      <c r="AG376" s="525"/>
      <c r="AH376" s="477"/>
      <c r="AI376" s="477"/>
      <c r="AJ376" s="477"/>
      <c r="AK376" s="477"/>
      <c r="AL376" s="477"/>
      <c r="AM376" s="477"/>
      <c r="AN376" s="477"/>
      <c r="AO376" s="477"/>
      <c r="AP376" s="477"/>
      <c r="AQ376" s="477"/>
      <c r="AR376" s="477"/>
      <c r="AS376" s="477"/>
      <c r="AT376" s="477"/>
      <c r="AU376" s="477"/>
      <c r="AV376" s="477"/>
      <c r="AW376" s="477"/>
      <c r="AX376" s="477"/>
      <c r="AY376" s="477"/>
      <c r="AZ376" s="477"/>
      <c r="BA376" s="477"/>
      <c r="BB376" s="477"/>
      <c r="BC376" s="477"/>
      <c r="BD376" s="477"/>
      <c r="BE376" s="477"/>
      <c r="BF376" s="477"/>
      <c r="BG376" s="477"/>
      <c r="BI376" s="95"/>
      <c r="BJ376" s="95"/>
      <c r="BK376" s="95"/>
      <c r="BL376" s="95"/>
      <c r="BM376" s="95"/>
      <c r="BN376" s="95"/>
      <c r="BO376" s="95"/>
      <c r="BP376" s="95"/>
      <c r="BQ376" s="95"/>
      <c r="BR376" s="95"/>
      <c r="BS376" s="95"/>
      <c r="BT376" s="95"/>
      <c r="BU376" s="95"/>
      <c r="BV376" s="95"/>
      <c r="BW376" s="95"/>
      <c r="BX376" s="95"/>
      <c r="BY376" s="95"/>
      <c r="BZ376" s="95"/>
      <c r="CA376" s="95"/>
      <c r="CB376" s="95"/>
      <c r="CC376" s="95"/>
      <c r="CD376" s="95"/>
      <c r="CE376" s="95"/>
      <c r="CF376" s="433"/>
      <c r="CG376" s="433"/>
      <c r="CH376" s="433"/>
      <c r="CI376" s="433"/>
      <c r="CJ376" s="433"/>
      <c r="CK376" s="433"/>
      <c r="CL376" s="433"/>
      <c r="CM376" s="433"/>
      <c r="CN376" s="433"/>
      <c r="CO376" s="433"/>
      <c r="CP376" s="433"/>
      <c r="CQ376" s="433"/>
      <c r="CR376" s="433"/>
      <c r="CS376" s="433"/>
      <c r="CT376" s="433"/>
      <c r="CU376" s="433"/>
      <c r="CV376" s="433"/>
      <c r="CW376" s="433"/>
      <c r="CX376" s="433"/>
      <c r="CY376" s="433"/>
      <c r="CZ376" s="433"/>
      <c r="DA376" s="433"/>
      <c r="DB376" s="433"/>
      <c r="DC376" s="433"/>
      <c r="DD376" s="433"/>
      <c r="DE376" s="433"/>
      <c r="DF376" s="433"/>
      <c r="DG376" s="433"/>
      <c r="DH376" s="433"/>
      <c r="DI376" s="435"/>
      <c r="DJ376" s="433"/>
      <c r="DK376" s="433"/>
      <c r="DL376" s="433"/>
      <c r="DM376" s="433"/>
      <c r="DN376" s="433"/>
      <c r="DO376" s="433"/>
      <c r="DP376" s="433"/>
      <c r="DQ376" s="433"/>
      <c r="DR376" s="433"/>
      <c r="DS376" s="433"/>
    </row>
    <row r="377" spans="1:123" hidden="1">
      <c r="A377" s="2311"/>
      <c r="B377" s="2273"/>
      <c r="C377" s="2304"/>
      <c r="D377" s="837" t="s">
        <v>1312</v>
      </c>
      <c r="E377" s="837">
        <v>5</v>
      </c>
      <c r="F377" s="852" t="s">
        <v>35</v>
      </c>
      <c r="G377" s="501" t="s">
        <v>35</v>
      </c>
      <c r="H377" s="906">
        <v>1300.83</v>
      </c>
      <c r="I377" s="906">
        <v>593.36</v>
      </c>
      <c r="J377" s="834" t="s">
        <v>35</v>
      </c>
      <c r="K377" s="697" t="s">
        <v>35</v>
      </c>
      <c r="L377" s="834" t="s">
        <v>35</v>
      </c>
      <c r="M377" s="697" t="s">
        <v>35</v>
      </c>
      <c r="N377" s="1180">
        <v>0</v>
      </c>
      <c r="O377" s="484" t="s">
        <v>847</v>
      </c>
      <c r="P377" s="484" t="s">
        <v>847</v>
      </c>
      <c r="Q377" s="774">
        <v>0</v>
      </c>
      <c r="R377" s="2306"/>
      <c r="S377" s="650"/>
      <c r="T377" s="515"/>
      <c r="U377" s="452"/>
      <c r="V377" s="1179"/>
      <c r="W377" s="525"/>
      <c r="X377" s="525"/>
      <c r="Y377" s="515"/>
      <c r="Z377" s="515"/>
      <c r="AA377" s="515"/>
      <c r="AB377" s="454"/>
      <c r="AC377" s="525"/>
      <c r="AD377" s="524"/>
      <c r="AE377" s="525"/>
      <c r="AF377" s="757"/>
      <c r="AG377" s="525"/>
      <c r="AH377" s="477"/>
      <c r="AI377" s="477"/>
      <c r="AJ377" s="477"/>
      <c r="AK377" s="477"/>
      <c r="AL377" s="477"/>
      <c r="AM377" s="477"/>
      <c r="AN377" s="477"/>
      <c r="AO377" s="477"/>
      <c r="AP377" s="477"/>
      <c r="AQ377" s="477"/>
      <c r="AR377" s="477"/>
      <c r="AS377" s="477"/>
      <c r="AT377" s="477"/>
      <c r="AU377" s="477"/>
      <c r="AV377" s="477"/>
      <c r="AW377" s="477"/>
      <c r="AX377" s="477"/>
      <c r="AY377" s="477"/>
      <c r="AZ377" s="477"/>
      <c r="BA377" s="477"/>
      <c r="BB377" s="477"/>
      <c r="BC377" s="477"/>
      <c r="BD377" s="477"/>
      <c r="BE377" s="477"/>
      <c r="BF377" s="477"/>
      <c r="BG377" s="477"/>
    </row>
    <row r="378" spans="1:123" hidden="1">
      <c r="A378" s="2311"/>
      <c r="B378" s="2307" t="s">
        <v>1021</v>
      </c>
      <c r="C378" s="858"/>
      <c r="D378" s="802"/>
      <c r="E378" s="802"/>
      <c r="F378" s="802"/>
      <c r="G378" s="802"/>
      <c r="H378" s="802"/>
      <c r="I378" s="802"/>
      <c r="J378" s="860"/>
      <c r="K378" s="802"/>
      <c r="L378" s="860"/>
      <c r="M378" s="525"/>
      <c r="N378" s="758"/>
      <c r="O378" s="759"/>
      <c r="P378" s="759"/>
      <c r="Q378" s="605"/>
      <c r="R378" s="605"/>
      <c r="S378" s="514"/>
      <c r="T378" s="515"/>
      <c r="U378" s="452"/>
      <c r="V378" s="1179"/>
      <c r="W378" s="525"/>
      <c r="X378" s="525"/>
      <c r="Y378" s="515"/>
      <c r="Z378" s="515"/>
      <c r="AA378" s="515"/>
      <c r="AB378" s="454"/>
      <c r="AC378" s="525"/>
      <c r="AD378" s="524"/>
      <c r="AE378" s="525"/>
      <c r="AF378" s="757"/>
      <c r="AG378" s="525"/>
      <c r="AH378" s="477"/>
      <c r="AI378" s="477"/>
      <c r="AJ378" s="477"/>
      <c r="AK378" s="477"/>
      <c r="AL378" s="477"/>
      <c r="AM378" s="477"/>
      <c r="AN378" s="477"/>
      <c r="AO378" s="477"/>
      <c r="AP378" s="477"/>
      <c r="AQ378" s="477"/>
      <c r="AR378" s="477"/>
      <c r="AS378" s="477"/>
      <c r="AT378" s="477"/>
      <c r="AU378" s="477"/>
      <c r="AV378" s="477"/>
      <c r="AW378" s="477"/>
      <c r="AX378" s="477"/>
      <c r="AY378" s="477"/>
      <c r="AZ378" s="477"/>
      <c r="BA378" s="477"/>
      <c r="BB378" s="477"/>
      <c r="BC378" s="477"/>
      <c r="BD378" s="477"/>
      <c r="BE378" s="477"/>
      <c r="BF378" s="477"/>
      <c r="BG378" s="477"/>
    </row>
    <row r="379" spans="1:123" s="542" customFormat="1" ht="25.5" customHeight="1">
      <c r="A379" s="2311"/>
      <c r="B379" s="2308"/>
      <c r="C379" s="858"/>
      <c r="D379" s="802"/>
      <c r="E379" s="802"/>
      <c r="F379" s="802"/>
      <c r="G379" s="802"/>
      <c r="H379" s="802"/>
      <c r="I379" s="802"/>
      <c r="J379" s="860"/>
      <c r="K379" s="802"/>
      <c r="L379" s="860"/>
      <c r="M379" s="525"/>
      <c r="N379" s="758"/>
      <c r="O379" s="759"/>
      <c r="P379" s="759"/>
      <c r="Q379" s="605"/>
      <c r="R379" s="605"/>
      <c r="S379" s="514"/>
      <c r="T379" s="515"/>
      <c r="U379" s="452"/>
      <c r="V379" s="1179"/>
      <c r="W379" s="525"/>
      <c r="X379" s="525"/>
      <c r="Y379" s="515"/>
      <c r="Z379" s="515"/>
      <c r="AA379" s="515"/>
      <c r="AB379" s="454"/>
      <c r="AC379" s="525"/>
      <c r="AD379" s="524"/>
      <c r="AE379" s="525"/>
      <c r="AF379" s="757"/>
      <c r="AG379" s="525"/>
      <c r="AH379" s="477"/>
      <c r="AI379" s="477"/>
      <c r="AJ379" s="477"/>
      <c r="AK379" s="477"/>
      <c r="AL379" s="477"/>
      <c r="AM379" s="477"/>
      <c r="AN379" s="477"/>
      <c r="AO379" s="477"/>
      <c r="AP379" s="477"/>
      <c r="AQ379" s="477"/>
      <c r="AR379" s="477"/>
      <c r="AS379" s="477"/>
      <c r="AT379" s="477"/>
      <c r="AU379" s="477"/>
      <c r="AV379" s="477"/>
      <c r="AW379" s="477"/>
      <c r="AX379" s="477"/>
      <c r="AY379" s="477"/>
      <c r="AZ379" s="477"/>
      <c r="BA379" s="477"/>
      <c r="BB379" s="477"/>
      <c r="BC379" s="477"/>
      <c r="BD379" s="477"/>
      <c r="BE379" s="477"/>
      <c r="BF379" s="477"/>
      <c r="BG379" s="477"/>
      <c r="BH379" s="432"/>
      <c r="DI379" s="543"/>
    </row>
    <row r="380" spans="1:123" s="626" customFormat="1" ht="9" customHeight="1">
      <c r="A380" s="2311"/>
      <c r="B380" s="2308"/>
      <c r="C380" s="858"/>
      <c r="D380" s="802"/>
      <c r="E380" s="802"/>
      <c r="F380" s="802"/>
      <c r="G380" s="802"/>
      <c r="H380" s="802"/>
      <c r="I380" s="802"/>
      <c r="J380" s="860"/>
      <c r="K380" s="802"/>
      <c r="L380" s="860"/>
      <c r="M380" s="525"/>
      <c r="N380" s="758"/>
      <c r="O380" s="759"/>
      <c r="P380" s="759"/>
      <c r="Q380" s="605"/>
      <c r="R380" s="605"/>
      <c r="S380" s="514"/>
      <c r="T380" s="515"/>
      <c r="U380" s="452"/>
      <c r="V380" s="1179"/>
      <c r="W380" s="525"/>
      <c r="X380" s="525"/>
      <c r="Y380" s="515"/>
      <c r="Z380" s="515"/>
      <c r="AA380" s="515"/>
      <c r="AB380" s="454"/>
      <c r="AC380" s="525"/>
      <c r="AD380" s="524"/>
      <c r="AE380" s="525"/>
      <c r="AF380" s="757"/>
      <c r="AG380" s="525"/>
      <c r="AH380" s="477"/>
      <c r="AI380" s="477"/>
      <c r="AJ380" s="477"/>
      <c r="AK380" s="477"/>
      <c r="AL380" s="477"/>
      <c r="AM380" s="477"/>
      <c r="AN380" s="477"/>
      <c r="AO380" s="477"/>
      <c r="AP380" s="477"/>
      <c r="AQ380" s="477"/>
      <c r="AR380" s="477"/>
      <c r="AS380" s="477"/>
      <c r="AT380" s="477"/>
      <c r="AU380" s="477"/>
      <c r="AV380" s="477"/>
      <c r="AW380" s="477"/>
      <c r="AX380" s="477"/>
      <c r="AY380" s="477"/>
      <c r="AZ380" s="477"/>
      <c r="BA380" s="477"/>
      <c r="BB380" s="477"/>
      <c r="BC380" s="477"/>
      <c r="BD380" s="477"/>
      <c r="BE380" s="477"/>
      <c r="BF380" s="477"/>
      <c r="BG380" s="477"/>
      <c r="BH380" s="432"/>
      <c r="CF380" s="542"/>
      <c r="CG380" s="542"/>
      <c r="CH380" s="542"/>
      <c r="CI380" s="542"/>
      <c r="CJ380" s="542"/>
      <c r="CK380" s="542"/>
      <c r="CL380" s="542"/>
      <c r="CM380" s="542"/>
      <c r="CN380" s="542"/>
      <c r="CO380" s="542"/>
      <c r="CP380" s="542"/>
      <c r="CQ380" s="542"/>
      <c r="CR380" s="542"/>
      <c r="CS380" s="542"/>
      <c r="CT380" s="542"/>
      <c r="CU380" s="542"/>
      <c r="CV380" s="542"/>
      <c r="CW380" s="542"/>
      <c r="CX380" s="542"/>
      <c r="CY380" s="542"/>
      <c r="CZ380" s="542"/>
      <c r="DA380" s="542"/>
      <c r="DB380" s="542"/>
      <c r="DC380" s="542"/>
      <c r="DD380" s="542"/>
      <c r="DE380" s="542"/>
      <c r="DF380" s="542"/>
      <c r="DG380" s="542"/>
      <c r="DH380" s="542"/>
      <c r="DI380" s="543"/>
      <c r="DJ380" s="542"/>
      <c r="DK380" s="542"/>
      <c r="DL380" s="542"/>
      <c r="DM380" s="542"/>
      <c r="DN380" s="542"/>
      <c r="DO380" s="542"/>
      <c r="DP380" s="542"/>
      <c r="DQ380" s="542"/>
      <c r="DR380" s="542"/>
      <c r="DS380" s="542"/>
    </row>
    <row r="381" spans="1:123" s="1175" customFormat="1" ht="15" customHeight="1" thickBot="1">
      <c r="A381" s="2311"/>
      <c r="B381" s="2309"/>
      <c r="C381" s="858"/>
      <c r="D381" s="802"/>
      <c r="E381" s="802"/>
      <c r="F381" s="802"/>
      <c r="G381" s="802"/>
      <c r="H381" s="802"/>
      <c r="I381" s="802"/>
      <c r="J381" s="860"/>
      <c r="K381" s="802"/>
      <c r="L381" s="860"/>
      <c r="M381" s="525"/>
      <c r="N381" s="758"/>
      <c r="O381" s="759"/>
      <c r="P381" s="759"/>
      <c r="Q381" s="605"/>
      <c r="R381" s="605"/>
      <c r="S381" s="983"/>
      <c r="T381" s="616"/>
      <c r="U381" s="452"/>
      <c r="V381" s="1179"/>
      <c r="W381" s="525"/>
      <c r="X381" s="525"/>
      <c r="Y381" s="515"/>
      <c r="Z381" s="515"/>
      <c r="AA381" s="515"/>
      <c r="AB381" s="454"/>
      <c r="AC381" s="525"/>
      <c r="AD381" s="675"/>
      <c r="AE381" s="676"/>
      <c r="AF381" s="757"/>
      <c r="AG381" s="525"/>
      <c r="AH381" s="477"/>
      <c r="AI381" s="477"/>
      <c r="AJ381" s="477"/>
      <c r="AK381" s="477"/>
      <c r="AL381" s="477"/>
      <c r="AM381" s="477"/>
      <c r="AN381" s="477"/>
      <c r="AO381" s="477"/>
      <c r="AP381" s="477"/>
      <c r="AQ381" s="477"/>
      <c r="AR381" s="477"/>
      <c r="AS381" s="477"/>
      <c r="AT381" s="477"/>
      <c r="AU381" s="477"/>
      <c r="AV381" s="477"/>
      <c r="AW381" s="477"/>
      <c r="AX381" s="477"/>
      <c r="AY381" s="477"/>
      <c r="AZ381" s="477"/>
      <c r="BA381" s="477"/>
      <c r="BB381" s="477"/>
      <c r="BC381" s="477"/>
      <c r="BD381" s="477"/>
      <c r="BE381" s="477"/>
      <c r="BF381" s="477"/>
      <c r="BG381" s="477"/>
      <c r="BH381" s="432"/>
      <c r="CF381" s="331"/>
      <c r="CG381" s="331"/>
      <c r="CH381" s="331"/>
      <c r="CI381" s="331"/>
      <c r="CJ381" s="331"/>
      <c r="CK381" s="331"/>
      <c r="CL381" s="331"/>
      <c r="CM381" s="331"/>
      <c r="CN381" s="331"/>
      <c r="CO381" s="331"/>
      <c r="CP381" s="331"/>
      <c r="CQ381" s="331"/>
      <c r="CR381" s="331"/>
      <c r="CS381" s="331"/>
      <c r="CT381" s="331"/>
      <c r="CU381" s="331"/>
      <c r="CV381" s="331"/>
      <c r="CW381" s="331"/>
      <c r="CX381" s="331"/>
      <c r="CY381" s="331"/>
      <c r="CZ381" s="331"/>
      <c r="DA381" s="331"/>
      <c r="DB381" s="331"/>
      <c r="DC381" s="331"/>
      <c r="DD381" s="331"/>
      <c r="DE381" s="331"/>
      <c r="DF381" s="331"/>
      <c r="DG381" s="331"/>
      <c r="DH381" s="331"/>
      <c r="DI381" s="848"/>
      <c r="DJ381" s="331"/>
      <c r="DK381" s="331"/>
      <c r="DL381" s="331"/>
      <c r="DM381" s="331"/>
      <c r="DN381" s="331"/>
      <c r="DO381" s="331"/>
      <c r="DP381" s="331"/>
      <c r="DQ381" s="331"/>
      <c r="DR381" s="331"/>
      <c r="DS381" s="331"/>
    </row>
    <row r="382" spans="1:123" ht="15" customHeight="1">
      <c r="A382" s="780"/>
      <c r="B382" s="1187"/>
      <c r="C382" s="515"/>
      <c r="D382" s="525"/>
      <c r="E382" s="525"/>
      <c r="F382" s="525"/>
      <c r="G382" s="525"/>
      <c r="H382" s="525"/>
      <c r="I382" s="525"/>
      <c r="J382" s="757"/>
      <c r="K382" s="525"/>
      <c r="L382" s="757"/>
      <c r="M382" s="525"/>
      <c r="N382" s="822"/>
      <c r="O382" s="823"/>
      <c r="P382" s="823"/>
      <c r="Q382" s="605"/>
      <c r="R382" s="605"/>
      <c r="S382" s="525"/>
      <c r="T382" s="525"/>
      <c r="U382" s="603"/>
      <c r="V382" s="524"/>
      <c r="W382" s="525"/>
      <c r="X382" s="525"/>
      <c r="Y382" s="525"/>
      <c r="Z382" s="525"/>
      <c r="AA382" s="525"/>
      <c r="AC382" s="525"/>
      <c r="AD382" s="525"/>
      <c r="AE382" s="525"/>
      <c r="AF382" s="757"/>
      <c r="AG382" s="525"/>
      <c r="AH382" s="477"/>
      <c r="AI382" s="477"/>
      <c r="AJ382" s="477"/>
      <c r="AK382" s="477"/>
      <c r="AL382" s="477"/>
      <c r="AM382" s="477"/>
      <c r="AN382" s="477"/>
      <c r="AO382" s="477"/>
      <c r="AP382" s="477"/>
      <c r="AQ382" s="477"/>
      <c r="AR382" s="477"/>
      <c r="AS382" s="477"/>
      <c r="AT382" s="477"/>
      <c r="AU382" s="477"/>
      <c r="AV382" s="477"/>
      <c r="AW382" s="477"/>
      <c r="AX382" s="477"/>
      <c r="AY382" s="477"/>
      <c r="AZ382" s="477"/>
      <c r="BA382" s="477"/>
      <c r="BB382" s="477"/>
      <c r="BC382" s="477"/>
      <c r="BD382" s="477"/>
      <c r="BE382" s="477"/>
      <c r="BF382" s="477"/>
      <c r="BG382" s="477"/>
    </row>
    <row r="383" spans="1:123" s="432" customFormat="1" ht="15" customHeight="1">
      <c r="A383" s="780"/>
      <c r="B383" s="1187"/>
      <c r="C383" s="515"/>
      <c r="D383" s="525"/>
      <c r="E383" s="525"/>
      <c r="F383" s="525"/>
      <c r="G383" s="525"/>
      <c r="H383" s="525"/>
      <c r="I383" s="525"/>
      <c r="J383" s="757"/>
      <c r="K383" s="525"/>
      <c r="L383" s="757"/>
      <c r="M383" s="525"/>
      <c r="N383" s="822"/>
      <c r="O383" s="823"/>
      <c r="P383" s="823"/>
      <c r="Q383" s="605"/>
      <c r="R383" s="605"/>
      <c r="S383" s="525"/>
      <c r="T383" s="525"/>
      <c r="U383" s="603"/>
      <c r="V383" s="524"/>
      <c r="W383" s="525"/>
      <c r="X383" s="525"/>
      <c r="Y383" s="525"/>
      <c r="Z383" s="525"/>
      <c r="AA383" s="525"/>
      <c r="AB383" s="891"/>
      <c r="AC383" s="525"/>
      <c r="AD383" s="525"/>
      <c r="AE383" s="525"/>
      <c r="AF383" s="757"/>
      <c r="AG383" s="525"/>
      <c r="AH383" s="477"/>
      <c r="AI383" s="477"/>
      <c r="AJ383" s="477"/>
      <c r="AK383" s="477"/>
      <c r="AL383" s="477"/>
      <c r="AM383" s="477"/>
      <c r="AN383" s="477"/>
      <c r="AO383" s="477"/>
      <c r="AP383" s="477"/>
      <c r="AQ383" s="477"/>
      <c r="AR383" s="477"/>
      <c r="AS383" s="477"/>
      <c r="AT383" s="477"/>
      <c r="AU383" s="477"/>
      <c r="AV383" s="477"/>
      <c r="AW383" s="477"/>
      <c r="AX383" s="477"/>
      <c r="AY383" s="477"/>
      <c r="AZ383" s="477"/>
      <c r="BA383" s="477"/>
      <c r="BB383" s="477"/>
      <c r="BC383" s="477"/>
      <c r="BD383" s="477"/>
      <c r="BE383" s="477"/>
      <c r="BF383" s="477"/>
      <c r="BG383" s="477"/>
      <c r="BI383" s="95"/>
      <c r="BJ383" s="95"/>
      <c r="BK383" s="95"/>
      <c r="BL383" s="95"/>
      <c r="BM383" s="95"/>
      <c r="BN383" s="95"/>
      <c r="BO383" s="95"/>
      <c r="BP383" s="95"/>
      <c r="BQ383" s="95"/>
      <c r="BR383" s="95"/>
      <c r="BS383" s="95"/>
      <c r="BT383" s="95"/>
      <c r="BU383" s="95"/>
      <c r="BV383" s="95"/>
      <c r="BW383" s="95"/>
      <c r="BX383" s="95"/>
      <c r="BY383" s="95"/>
      <c r="BZ383" s="95"/>
      <c r="CA383" s="95"/>
      <c r="CB383" s="95"/>
      <c r="CC383" s="95"/>
      <c r="CD383" s="95"/>
      <c r="CE383" s="95"/>
      <c r="CF383" s="433"/>
      <c r="CG383" s="433"/>
      <c r="CH383" s="433"/>
      <c r="CI383" s="433"/>
      <c r="CJ383" s="433"/>
      <c r="CK383" s="433"/>
      <c r="CL383" s="433"/>
      <c r="CM383" s="433"/>
      <c r="CN383" s="433"/>
      <c r="CO383" s="433"/>
      <c r="CP383" s="433"/>
      <c r="CQ383" s="433"/>
      <c r="CR383" s="433"/>
      <c r="CS383" s="433"/>
      <c r="CT383" s="433"/>
      <c r="CU383" s="433"/>
      <c r="CV383" s="433"/>
      <c r="CW383" s="433"/>
      <c r="CX383" s="433"/>
      <c r="CY383" s="433"/>
      <c r="CZ383" s="433"/>
      <c r="DA383" s="433"/>
      <c r="DB383" s="433"/>
      <c r="DC383" s="433"/>
      <c r="DD383" s="433"/>
      <c r="DE383" s="433"/>
      <c r="DF383" s="433"/>
      <c r="DG383" s="433"/>
      <c r="DH383" s="433"/>
      <c r="DI383" s="435"/>
      <c r="DJ383" s="433"/>
      <c r="DK383" s="433"/>
      <c r="DL383" s="433"/>
      <c r="DM383" s="433"/>
      <c r="DN383" s="433"/>
      <c r="DO383" s="433"/>
      <c r="DP383" s="433"/>
      <c r="DQ383" s="433"/>
      <c r="DR383" s="433"/>
      <c r="DS383" s="433"/>
    </row>
    <row r="384" spans="1:123" s="432" customFormat="1" ht="15" customHeight="1">
      <c r="A384" s="780"/>
      <c r="B384" s="1187"/>
      <c r="C384" s="515"/>
      <c r="D384" s="525"/>
      <c r="E384" s="525"/>
      <c r="F384" s="525"/>
      <c r="G384" s="525"/>
      <c r="H384" s="525"/>
      <c r="I384" s="525"/>
      <c r="J384" s="757"/>
      <c r="K384" s="525"/>
      <c r="L384" s="757"/>
      <c r="M384" s="525"/>
      <c r="N384" s="822"/>
      <c r="O384" s="823"/>
      <c r="P384" s="823"/>
      <c r="Q384" s="605"/>
      <c r="R384" s="605"/>
      <c r="S384" s="525"/>
      <c r="T384" s="525"/>
      <c r="U384" s="603"/>
      <c r="V384" s="524"/>
      <c r="W384" s="525"/>
      <c r="X384" s="525"/>
      <c r="Y384" s="525"/>
      <c r="Z384" s="525"/>
      <c r="AA384" s="525"/>
      <c r="AB384" s="891"/>
      <c r="AC384" s="525"/>
      <c r="AD384" s="525"/>
      <c r="AE384" s="525"/>
      <c r="AF384" s="757"/>
      <c r="AG384" s="525"/>
      <c r="AH384" s="477"/>
      <c r="AI384" s="477"/>
      <c r="AJ384" s="477"/>
      <c r="AK384" s="477"/>
      <c r="AL384" s="477"/>
      <c r="AM384" s="477"/>
      <c r="AN384" s="477"/>
      <c r="AO384" s="477"/>
      <c r="AP384" s="477"/>
      <c r="AQ384" s="477"/>
      <c r="AR384" s="477"/>
      <c r="AS384" s="477"/>
      <c r="AT384" s="477"/>
      <c r="AU384" s="477"/>
      <c r="AV384" s="477"/>
      <c r="AW384" s="477"/>
      <c r="AX384" s="477"/>
      <c r="AY384" s="477"/>
      <c r="AZ384" s="477"/>
      <c r="BA384" s="477"/>
      <c r="BB384" s="477"/>
      <c r="BC384" s="477"/>
      <c r="BD384" s="477"/>
      <c r="BE384" s="477"/>
      <c r="BF384" s="477"/>
      <c r="BG384" s="477"/>
      <c r="BI384" s="95"/>
      <c r="BJ384" s="95"/>
      <c r="BK384" s="95"/>
      <c r="BL384" s="95"/>
      <c r="BM384" s="95"/>
      <c r="BN384" s="95"/>
      <c r="BO384" s="95"/>
      <c r="BP384" s="95"/>
      <c r="BQ384" s="95"/>
      <c r="BR384" s="95"/>
      <c r="BS384" s="95"/>
      <c r="BT384" s="95"/>
      <c r="BU384" s="95"/>
      <c r="BV384" s="95"/>
      <c r="BW384" s="95"/>
      <c r="BX384" s="95"/>
      <c r="BY384" s="95"/>
      <c r="BZ384" s="95"/>
      <c r="CA384" s="95"/>
      <c r="CB384" s="95"/>
      <c r="CC384" s="95"/>
      <c r="CD384" s="95"/>
      <c r="CE384" s="95"/>
      <c r="CF384" s="433"/>
      <c r="CG384" s="433"/>
      <c r="CH384" s="433"/>
      <c r="CI384" s="433"/>
      <c r="CJ384" s="433"/>
      <c r="CK384" s="433"/>
      <c r="CL384" s="433"/>
      <c r="CM384" s="433"/>
      <c r="CN384" s="433"/>
      <c r="CO384" s="433"/>
      <c r="CP384" s="433"/>
      <c r="CQ384" s="433"/>
      <c r="CR384" s="433"/>
      <c r="CS384" s="433"/>
      <c r="CT384" s="433"/>
      <c r="CU384" s="433"/>
      <c r="CV384" s="433"/>
      <c r="CW384" s="433"/>
      <c r="CX384" s="433"/>
      <c r="CY384" s="433"/>
      <c r="CZ384" s="433"/>
      <c r="DA384" s="433"/>
      <c r="DB384" s="433"/>
      <c r="DC384" s="433"/>
      <c r="DD384" s="433"/>
      <c r="DE384" s="433"/>
      <c r="DF384" s="433"/>
      <c r="DG384" s="433"/>
      <c r="DH384" s="433"/>
      <c r="DI384" s="435"/>
      <c r="DJ384" s="433"/>
      <c r="DK384" s="433"/>
      <c r="DL384" s="433"/>
      <c r="DM384" s="433"/>
      <c r="DN384" s="433"/>
      <c r="DO384" s="433"/>
      <c r="DP384" s="433"/>
      <c r="DQ384" s="433"/>
      <c r="DR384" s="433"/>
      <c r="DS384" s="433"/>
    </row>
    <row r="385" spans="1:123" s="432" customFormat="1" ht="15" customHeight="1">
      <c r="A385" s="780"/>
      <c r="B385" s="1187"/>
      <c r="C385" s="515"/>
      <c r="D385" s="525"/>
      <c r="E385" s="525"/>
      <c r="F385" s="525"/>
      <c r="G385" s="525"/>
      <c r="H385" s="525"/>
      <c r="I385" s="525"/>
      <c r="J385" s="757"/>
      <c r="K385" s="525"/>
      <c r="L385" s="757"/>
      <c r="M385" s="525"/>
      <c r="N385" s="822"/>
      <c r="O385" s="823"/>
      <c r="P385" s="823"/>
      <c r="Q385" s="605"/>
      <c r="R385" s="605"/>
      <c r="S385" s="525"/>
      <c r="T385" s="525"/>
      <c r="U385" s="603"/>
      <c r="V385" s="524"/>
      <c r="W385" s="525"/>
      <c r="X385" s="525"/>
      <c r="Y385" s="525"/>
      <c r="Z385" s="525"/>
      <c r="AA385" s="525"/>
      <c r="AB385" s="891"/>
      <c r="AC385" s="525"/>
      <c r="AD385" s="525"/>
      <c r="AE385" s="525"/>
      <c r="AF385" s="757"/>
      <c r="AG385" s="525"/>
      <c r="AH385" s="477"/>
      <c r="AI385" s="477"/>
      <c r="AJ385" s="477"/>
      <c r="AK385" s="477"/>
      <c r="AL385" s="477"/>
      <c r="AM385" s="477"/>
      <c r="AN385" s="477"/>
      <c r="AO385" s="477"/>
      <c r="AP385" s="477"/>
      <c r="AQ385" s="477"/>
      <c r="AR385" s="477"/>
      <c r="AS385" s="477"/>
      <c r="AT385" s="477"/>
      <c r="AU385" s="477"/>
      <c r="AV385" s="477"/>
      <c r="AW385" s="477"/>
      <c r="AX385" s="477"/>
      <c r="AY385" s="477"/>
      <c r="AZ385" s="477"/>
      <c r="BA385" s="477"/>
      <c r="BB385" s="477"/>
      <c r="BC385" s="477"/>
      <c r="BD385" s="477"/>
      <c r="BE385" s="477"/>
      <c r="BF385" s="477"/>
      <c r="BG385" s="477"/>
      <c r="BI385" s="95"/>
      <c r="BJ385" s="95"/>
      <c r="BK385" s="95"/>
      <c r="BL385" s="95"/>
      <c r="BM385" s="95"/>
      <c r="BN385" s="95"/>
      <c r="BO385" s="95"/>
      <c r="BP385" s="95"/>
      <c r="BQ385" s="95"/>
      <c r="BR385" s="95"/>
      <c r="BS385" s="95"/>
      <c r="BT385" s="95"/>
      <c r="BU385" s="95"/>
      <c r="BV385" s="95"/>
      <c r="BW385" s="95"/>
      <c r="BX385" s="95"/>
      <c r="BY385" s="95"/>
      <c r="BZ385" s="95"/>
      <c r="CA385" s="95"/>
      <c r="CB385" s="95"/>
      <c r="CC385" s="95"/>
      <c r="CD385" s="95"/>
      <c r="CE385" s="95"/>
      <c r="CF385" s="433"/>
      <c r="CG385" s="433"/>
      <c r="CH385" s="433"/>
      <c r="CI385" s="433"/>
      <c r="CJ385" s="433"/>
      <c r="CK385" s="433"/>
      <c r="CL385" s="433"/>
      <c r="CM385" s="433"/>
      <c r="CN385" s="433"/>
      <c r="CO385" s="433"/>
      <c r="CP385" s="433"/>
      <c r="CQ385" s="433"/>
      <c r="CR385" s="433"/>
      <c r="CS385" s="433"/>
      <c r="CT385" s="433"/>
      <c r="CU385" s="433"/>
      <c r="CV385" s="433"/>
      <c r="CW385" s="433"/>
      <c r="CX385" s="433"/>
      <c r="CY385" s="433"/>
      <c r="CZ385" s="433"/>
      <c r="DA385" s="433"/>
      <c r="DB385" s="433"/>
      <c r="DC385" s="433"/>
      <c r="DD385" s="433"/>
      <c r="DE385" s="433"/>
      <c r="DF385" s="433"/>
      <c r="DG385" s="433"/>
      <c r="DH385" s="433"/>
      <c r="DI385" s="435"/>
      <c r="DJ385" s="433"/>
      <c r="DK385" s="433"/>
      <c r="DL385" s="433"/>
      <c r="DM385" s="433"/>
      <c r="DN385" s="433"/>
      <c r="DO385" s="433"/>
      <c r="DP385" s="433"/>
      <c r="DQ385" s="433"/>
      <c r="DR385" s="433"/>
      <c r="DS385" s="433"/>
    </row>
    <row r="386" spans="1:123" s="432" customFormat="1" ht="15" customHeight="1">
      <c r="A386" s="780"/>
      <c r="B386" s="1187"/>
      <c r="C386" s="515"/>
      <c r="D386" s="525"/>
      <c r="E386" s="525"/>
      <c r="F386" s="525"/>
      <c r="G386" s="525"/>
      <c r="H386" s="525"/>
      <c r="I386" s="525"/>
      <c r="J386" s="757"/>
      <c r="K386" s="525"/>
      <c r="L386" s="757"/>
      <c r="M386" s="525"/>
      <c r="N386" s="822"/>
      <c r="O386" s="823"/>
      <c r="P386" s="823"/>
      <c r="Q386" s="605"/>
      <c r="R386" s="605"/>
      <c r="S386" s="525"/>
      <c r="T386" s="525"/>
      <c r="U386" s="603"/>
      <c r="V386" s="524"/>
      <c r="W386" s="525"/>
      <c r="X386" s="525"/>
      <c r="Y386" s="525"/>
      <c r="Z386" s="525"/>
      <c r="AA386" s="525"/>
      <c r="AB386" s="891"/>
      <c r="AC386" s="525"/>
      <c r="AD386" s="525"/>
      <c r="AE386" s="525"/>
      <c r="AF386" s="757"/>
      <c r="AG386" s="525"/>
      <c r="AH386" s="477"/>
      <c r="AI386" s="477"/>
      <c r="AJ386" s="477"/>
      <c r="AK386" s="477"/>
      <c r="AL386" s="477"/>
      <c r="AM386" s="477"/>
      <c r="AN386" s="477"/>
      <c r="AO386" s="477"/>
      <c r="AP386" s="477"/>
      <c r="AQ386" s="477"/>
      <c r="AR386" s="477"/>
      <c r="AS386" s="477"/>
      <c r="AT386" s="477"/>
      <c r="AU386" s="477"/>
      <c r="AV386" s="477"/>
      <c r="AW386" s="477"/>
      <c r="AX386" s="477"/>
      <c r="AY386" s="477"/>
      <c r="AZ386" s="477"/>
      <c r="BA386" s="477"/>
      <c r="BB386" s="477"/>
      <c r="BC386" s="477"/>
      <c r="BD386" s="477"/>
      <c r="BE386" s="477"/>
      <c r="BF386" s="477"/>
      <c r="BG386" s="477"/>
      <c r="BI386" s="95"/>
      <c r="BJ386" s="95"/>
      <c r="BK386" s="95"/>
      <c r="BL386" s="95"/>
      <c r="BM386" s="95"/>
      <c r="BN386" s="95"/>
      <c r="BO386" s="95"/>
      <c r="BP386" s="95"/>
      <c r="BQ386" s="95"/>
      <c r="BR386" s="95"/>
      <c r="BS386" s="95"/>
      <c r="BT386" s="95"/>
      <c r="BU386" s="95"/>
      <c r="BV386" s="95"/>
      <c r="BW386" s="95"/>
      <c r="BX386" s="95"/>
      <c r="BY386" s="95"/>
      <c r="BZ386" s="95"/>
      <c r="CA386" s="95"/>
      <c r="CB386" s="95"/>
      <c r="CC386" s="95"/>
      <c r="CD386" s="95"/>
      <c r="CE386" s="95"/>
      <c r="CF386" s="433"/>
      <c r="CG386" s="433"/>
      <c r="CH386" s="433"/>
      <c r="CI386" s="433"/>
      <c r="CJ386" s="433"/>
      <c r="CK386" s="433"/>
      <c r="CL386" s="433"/>
      <c r="CM386" s="433"/>
      <c r="CN386" s="433"/>
      <c r="CO386" s="433"/>
      <c r="CP386" s="433"/>
      <c r="CQ386" s="433"/>
      <c r="CR386" s="433"/>
      <c r="CS386" s="433"/>
      <c r="CT386" s="433"/>
      <c r="CU386" s="433"/>
      <c r="CV386" s="433"/>
      <c r="CW386" s="433"/>
      <c r="CX386" s="433"/>
      <c r="CY386" s="433"/>
      <c r="CZ386" s="433"/>
      <c r="DA386" s="433"/>
      <c r="DB386" s="433"/>
      <c r="DC386" s="433"/>
      <c r="DD386" s="433"/>
      <c r="DE386" s="433"/>
      <c r="DF386" s="433"/>
      <c r="DG386" s="433"/>
      <c r="DH386" s="433"/>
      <c r="DI386" s="435"/>
      <c r="DJ386" s="433"/>
      <c r="DK386" s="433"/>
      <c r="DL386" s="433"/>
      <c r="DM386" s="433"/>
      <c r="DN386" s="433"/>
      <c r="DO386" s="433"/>
      <c r="DP386" s="433"/>
      <c r="DQ386" s="433"/>
      <c r="DR386" s="433"/>
      <c r="DS386" s="433"/>
    </row>
    <row r="387" spans="1:123" s="432" customFormat="1" ht="15" customHeight="1">
      <c r="A387" s="780"/>
      <c r="B387" s="1187"/>
      <c r="C387" s="515"/>
      <c r="D387" s="525"/>
      <c r="E387" s="525"/>
      <c r="F387" s="525"/>
      <c r="G387" s="525"/>
      <c r="H387" s="525"/>
      <c r="I387" s="525"/>
      <c r="J387" s="757"/>
      <c r="K387" s="525"/>
      <c r="L387" s="757"/>
      <c r="M387" s="525"/>
      <c r="N387" s="822"/>
      <c r="O387" s="823"/>
      <c r="P387" s="823"/>
      <c r="Q387" s="605"/>
      <c r="R387" s="605"/>
      <c r="S387" s="525"/>
      <c r="T387" s="525"/>
      <c r="U387" s="603"/>
      <c r="V387" s="524"/>
      <c r="W387" s="525"/>
      <c r="X387" s="525"/>
      <c r="Y387" s="525"/>
      <c r="Z387" s="525"/>
      <c r="AA387" s="525"/>
      <c r="AB387" s="891"/>
      <c r="AC387" s="525"/>
      <c r="AD387" s="525"/>
      <c r="AE387" s="525"/>
      <c r="AF387" s="757"/>
      <c r="AG387" s="525"/>
      <c r="AH387" s="477"/>
      <c r="AI387" s="477"/>
      <c r="AJ387" s="477"/>
      <c r="AK387" s="477"/>
      <c r="AL387" s="477"/>
      <c r="AM387" s="477"/>
      <c r="AN387" s="477"/>
      <c r="AO387" s="477"/>
      <c r="AP387" s="477"/>
      <c r="AQ387" s="477"/>
      <c r="AR387" s="477"/>
      <c r="AS387" s="477"/>
      <c r="AT387" s="477"/>
      <c r="AU387" s="477"/>
      <c r="AV387" s="477"/>
      <c r="AW387" s="477"/>
      <c r="AX387" s="477"/>
      <c r="AY387" s="477"/>
      <c r="AZ387" s="477"/>
      <c r="BA387" s="477"/>
      <c r="BB387" s="477"/>
      <c r="BC387" s="477"/>
      <c r="BD387" s="477"/>
      <c r="BE387" s="477"/>
      <c r="BF387" s="477"/>
      <c r="BG387" s="477"/>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433"/>
      <c r="CG387" s="433"/>
      <c r="CH387" s="433"/>
      <c r="CI387" s="433"/>
      <c r="CJ387" s="433"/>
      <c r="CK387" s="433"/>
      <c r="CL387" s="433"/>
      <c r="CM387" s="433"/>
      <c r="CN387" s="433"/>
      <c r="CO387" s="433"/>
      <c r="CP387" s="433"/>
      <c r="CQ387" s="433"/>
      <c r="CR387" s="433"/>
      <c r="CS387" s="433"/>
      <c r="CT387" s="433"/>
      <c r="CU387" s="433"/>
      <c r="CV387" s="433"/>
      <c r="CW387" s="433"/>
      <c r="CX387" s="433"/>
      <c r="CY387" s="433"/>
      <c r="CZ387" s="433"/>
      <c r="DA387" s="433"/>
      <c r="DB387" s="433"/>
      <c r="DC387" s="433"/>
      <c r="DD387" s="433"/>
      <c r="DE387" s="433"/>
      <c r="DF387" s="433"/>
      <c r="DG387" s="433"/>
      <c r="DH387" s="433"/>
      <c r="DI387" s="435"/>
      <c r="DJ387" s="433"/>
      <c r="DK387" s="433"/>
      <c r="DL387" s="433"/>
      <c r="DM387" s="433"/>
      <c r="DN387" s="433"/>
      <c r="DO387" s="433"/>
      <c r="DP387" s="433"/>
      <c r="DQ387" s="433"/>
      <c r="DR387" s="433"/>
      <c r="DS387" s="433"/>
    </row>
    <row r="388" spans="1:123" s="432" customFormat="1" ht="15" customHeight="1">
      <c r="A388" s="780"/>
      <c r="B388" s="1187"/>
      <c r="C388" s="515"/>
      <c r="D388" s="525"/>
      <c r="E388" s="525"/>
      <c r="F388" s="525"/>
      <c r="G388" s="525"/>
      <c r="H388" s="525"/>
      <c r="I388" s="525"/>
      <c r="J388" s="757"/>
      <c r="K388" s="525"/>
      <c r="L388" s="757"/>
      <c r="M388" s="525"/>
      <c r="N388" s="822"/>
      <c r="O388" s="823"/>
      <c r="P388" s="823"/>
      <c r="Q388" s="605"/>
      <c r="R388" s="605"/>
      <c r="S388" s="525"/>
      <c r="T388" s="525"/>
      <c r="U388" s="603"/>
      <c r="V388" s="524"/>
      <c r="W388" s="525"/>
      <c r="X388" s="525"/>
      <c r="Y388" s="525"/>
      <c r="Z388" s="525"/>
      <c r="AA388" s="525"/>
      <c r="AB388" s="891"/>
      <c r="AC388" s="525"/>
      <c r="AD388" s="525"/>
      <c r="AE388" s="525"/>
      <c r="AF388" s="757"/>
      <c r="AG388" s="525"/>
      <c r="AH388" s="477"/>
      <c r="AI388" s="477"/>
      <c r="AJ388" s="477"/>
      <c r="AK388" s="477"/>
      <c r="AL388" s="477"/>
      <c r="AM388" s="477"/>
      <c r="AN388" s="477"/>
      <c r="AO388" s="477"/>
      <c r="AP388" s="477"/>
      <c r="AQ388" s="477"/>
      <c r="AR388" s="477"/>
      <c r="AS388" s="477"/>
      <c r="AT388" s="477"/>
      <c r="AU388" s="477"/>
      <c r="AV388" s="477"/>
      <c r="AW388" s="477"/>
      <c r="AX388" s="477"/>
      <c r="AY388" s="477"/>
      <c r="AZ388" s="477"/>
      <c r="BA388" s="477"/>
      <c r="BB388" s="477"/>
      <c r="BC388" s="477"/>
      <c r="BD388" s="477"/>
      <c r="BE388" s="477"/>
      <c r="BF388" s="477"/>
      <c r="BG388" s="477"/>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433"/>
      <c r="CG388" s="433"/>
      <c r="CH388" s="433"/>
      <c r="CI388" s="433"/>
      <c r="CJ388" s="433"/>
      <c r="CK388" s="433"/>
      <c r="CL388" s="433"/>
      <c r="CM388" s="433"/>
      <c r="CN388" s="433"/>
      <c r="CO388" s="433"/>
      <c r="CP388" s="433"/>
      <c r="CQ388" s="433"/>
      <c r="CR388" s="433"/>
      <c r="CS388" s="433"/>
      <c r="CT388" s="433"/>
      <c r="CU388" s="433"/>
      <c r="CV388" s="433"/>
      <c r="CW388" s="433"/>
      <c r="CX388" s="433"/>
      <c r="CY388" s="433"/>
      <c r="CZ388" s="433"/>
      <c r="DA388" s="433"/>
      <c r="DB388" s="433"/>
      <c r="DC388" s="433"/>
      <c r="DD388" s="433"/>
      <c r="DE388" s="433"/>
      <c r="DF388" s="433"/>
      <c r="DG388" s="433"/>
      <c r="DH388" s="433"/>
      <c r="DI388" s="435"/>
      <c r="DJ388" s="433"/>
      <c r="DK388" s="433"/>
      <c r="DL388" s="433"/>
      <c r="DM388" s="433"/>
      <c r="DN388" s="433"/>
      <c r="DO388" s="433"/>
      <c r="DP388" s="433"/>
      <c r="DQ388" s="433"/>
      <c r="DR388" s="433"/>
      <c r="DS388" s="433"/>
    </row>
    <row r="389" spans="1:123" s="432" customFormat="1" ht="15" customHeight="1" thickBot="1">
      <c r="A389" s="780"/>
      <c r="B389" s="1187"/>
      <c r="C389" s="515"/>
      <c r="D389" s="525"/>
      <c r="E389" s="525"/>
      <c r="F389" s="525"/>
      <c r="G389" s="525"/>
      <c r="H389" s="525"/>
      <c r="I389" s="525"/>
      <c r="J389" s="757"/>
      <c r="K389" s="525"/>
      <c r="L389" s="757"/>
      <c r="M389" s="525"/>
      <c r="N389" s="822"/>
      <c r="O389" s="823"/>
      <c r="P389" s="823"/>
      <c r="Q389" s="605"/>
      <c r="R389" s="605"/>
      <c r="S389" s="525"/>
      <c r="T389" s="525"/>
      <c r="U389" s="603"/>
      <c r="V389" s="524"/>
      <c r="W389" s="525"/>
      <c r="X389" s="525"/>
      <c r="Y389" s="525"/>
      <c r="Z389" s="525"/>
      <c r="AA389" s="525"/>
      <c r="AB389" s="891"/>
      <c r="AC389" s="525"/>
      <c r="AD389" s="525"/>
      <c r="AE389" s="525"/>
      <c r="AF389" s="757"/>
      <c r="AG389" s="525"/>
      <c r="AH389" s="477"/>
      <c r="AI389" s="477"/>
      <c r="AJ389" s="477"/>
      <c r="AK389" s="477"/>
      <c r="AL389" s="477"/>
      <c r="AM389" s="477"/>
      <c r="AN389" s="477"/>
      <c r="AO389" s="477"/>
      <c r="AP389" s="477"/>
      <c r="AQ389" s="477"/>
      <c r="AR389" s="477"/>
      <c r="AS389" s="477"/>
      <c r="AT389" s="477"/>
      <c r="AU389" s="477"/>
      <c r="AV389" s="477"/>
      <c r="AW389" s="477"/>
      <c r="AX389" s="477"/>
      <c r="AY389" s="477"/>
      <c r="AZ389" s="477"/>
      <c r="BA389" s="477"/>
      <c r="BB389" s="477"/>
      <c r="BC389" s="477"/>
      <c r="BD389" s="477"/>
      <c r="BE389" s="477"/>
      <c r="BF389" s="477"/>
      <c r="BG389" s="477"/>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433"/>
      <c r="CG389" s="433"/>
      <c r="CH389" s="433"/>
      <c r="CI389" s="433"/>
      <c r="CJ389" s="433"/>
      <c r="CK389" s="433"/>
      <c r="CL389" s="433"/>
      <c r="CM389" s="433"/>
      <c r="CN389" s="433"/>
      <c r="CO389" s="433"/>
      <c r="CP389" s="433"/>
      <c r="CQ389" s="433"/>
      <c r="CR389" s="433"/>
      <c r="CS389" s="433"/>
      <c r="CT389" s="433"/>
      <c r="CU389" s="433"/>
      <c r="CV389" s="433"/>
      <c r="CW389" s="433"/>
      <c r="CX389" s="433"/>
      <c r="CY389" s="433"/>
      <c r="CZ389" s="433"/>
      <c r="DA389" s="433"/>
      <c r="DB389" s="433"/>
      <c r="DC389" s="433"/>
      <c r="DD389" s="433"/>
      <c r="DE389" s="433"/>
      <c r="DF389" s="433"/>
      <c r="DG389" s="433"/>
      <c r="DH389" s="433"/>
      <c r="DI389" s="435"/>
      <c r="DJ389" s="433"/>
      <c r="DK389" s="433"/>
      <c r="DL389" s="433"/>
      <c r="DM389" s="433"/>
      <c r="DN389" s="433"/>
      <c r="DO389" s="433"/>
      <c r="DP389" s="433"/>
      <c r="DQ389" s="433"/>
      <c r="DR389" s="433"/>
      <c r="DS389" s="433"/>
    </row>
    <row r="390" spans="1:123" s="432" customFormat="1" ht="15" customHeight="1" thickBot="1">
      <c r="A390" s="442" t="s">
        <v>1404</v>
      </c>
      <c r="B390" s="443"/>
      <c r="C390" s="444"/>
      <c r="D390" s="445"/>
      <c r="E390" s="873"/>
      <c r="F390" s="874"/>
      <c r="G390" s="874"/>
      <c r="H390" s="875"/>
      <c r="I390" s="875"/>
      <c r="J390" s="446"/>
      <c r="K390" s="445"/>
      <c r="L390" s="446"/>
      <c r="M390" s="447"/>
      <c r="N390" s="448"/>
      <c r="O390" s="449"/>
      <c r="P390" s="449"/>
      <c r="Q390" s="450"/>
      <c r="R390" s="450"/>
      <c r="S390" s="451"/>
      <c r="T390" s="451"/>
      <c r="U390" s="452"/>
      <c r="V390" s="453"/>
      <c r="W390" s="447"/>
      <c r="X390" s="620"/>
      <c r="Y390" s="876"/>
      <c r="Z390" s="876"/>
      <c r="AA390" s="876"/>
      <c r="AB390" s="877"/>
      <c r="AC390" s="878"/>
      <c r="AD390" s="878"/>
      <c r="AE390" s="878"/>
      <c r="AF390" s="879"/>
      <c r="AG390" s="878"/>
      <c r="AH390" s="456"/>
      <c r="AI390" s="653"/>
      <c r="AJ390" s="653"/>
      <c r="AK390" s="653"/>
      <c r="AL390" s="653"/>
      <c r="AM390" s="653"/>
      <c r="AN390" s="456"/>
      <c r="AO390" s="456"/>
      <c r="AP390" s="456"/>
      <c r="AQ390" s="456"/>
      <c r="AR390" s="456"/>
      <c r="AS390" s="456"/>
      <c r="AT390" s="456"/>
      <c r="AU390" s="456"/>
      <c r="AV390" s="456"/>
      <c r="AW390" s="456"/>
      <c r="AX390" s="456"/>
      <c r="AY390" s="456"/>
      <c r="AZ390" s="456"/>
      <c r="BA390" s="456"/>
      <c r="BB390" s="456"/>
      <c r="BC390" s="456"/>
      <c r="BD390" s="456"/>
      <c r="BE390" s="456"/>
      <c r="BF390" s="456"/>
      <c r="BG390" s="456"/>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433"/>
      <c r="CG390" s="433"/>
      <c r="CH390" s="433"/>
      <c r="CI390" s="433"/>
      <c r="CJ390" s="433"/>
      <c r="CK390" s="433"/>
      <c r="CL390" s="433"/>
      <c r="CM390" s="433"/>
      <c r="CN390" s="433"/>
      <c r="CO390" s="433"/>
      <c r="CP390" s="433"/>
      <c r="CQ390" s="433"/>
      <c r="CR390" s="433"/>
      <c r="CS390" s="433"/>
      <c r="CT390" s="433"/>
      <c r="CU390" s="433"/>
      <c r="CV390" s="433"/>
      <c r="CW390" s="433"/>
      <c r="CX390" s="433"/>
      <c r="CY390" s="433"/>
      <c r="CZ390" s="433"/>
      <c r="DA390" s="433"/>
      <c r="DB390" s="433"/>
      <c r="DC390" s="433"/>
      <c r="DD390" s="433"/>
      <c r="DE390" s="433"/>
      <c r="DF390" s="433"/>
      <c r="DG390" s="433"/>
      <c r="DH390" s="433"/>
      <c r="DI390" s="435"/>
      <c r="DJ390" s="433"/>
      <c r="DK390" s="433"/>
      <c r="DL390" s="433"/>
      <c r="DM390" s="433"/>
      <c r="DN390" s="433"/>
      <c r="DO390" s="433"/>
      <c r="DP390" s="433"/>
      <c r="DQ390" s="433"/>
      <c r="DR390" s="433"/>
      <c r="DS390" s="433"/>
    </row>
    <row r="391" spans="1:123" s="432" customFormat="1" ht="15" customHeight="1" thickBot="1">
      <c r="A391" s="540"/>
      <c r="B391" s="541"/>
      <c r="C391" s="444"/>
      <c r="D391" s="445"/>
      <c r="E391" s="444"/>
      <c r="F391" s="444"/>
      <c r="G391" s="444"/>
      <c r="H391" s="444"/>
      <c r="I391" s="444"/>
      <c r="J391" s="446"/>
      <c r="K391" s="445"/>
      <c r="L391" s="446"/>
      <c r="M391" s="447"/>
      <c r="N391" s="448"/>
      <c r="O391" s="449"/>
      <c r="P391" s="449"/>
      <c r="Q391" s="450"/>
      <c r="R391" s="450"/>
      <c r="S391" s="451"/>
      <c r="T391" s="451"/>
      <c r="U391" s="452"/>
      <c r="V391" s="453"/>
      <c r="W391" s="447"/>
      <c r="X391" s="447"/>
      <c r="Y391" s="451"/>
      <c r="Z391" s="451"/>
      <c r="AA391" s="451"/>
      <c r="AB391" s="454"/>
      <c r="AC391" s="447"/>
      <c r="AD391" s="447"/>
      <c r="AE391" s="447"/>
      <c r="AF391" s="455"/>
      <c r="AG391" s="447"/>
      <c r="AH391" s="653"/>
      <c r="AI391" s="456"/>
      <c r="AJ391" s="456"/>
      <c r="AK391" s="456"/>
      <c r="AL391" s="456"/>
      <c r="AM391" s="456"/>
      <c r="AN391" s="456"/>
      <c r="AO391" s="456"/>
      <c r="AP391" s="456"/>
      <c r="AQ391" s="456"/>
      <c r="AR391" s="456"/>
      <c r="AS391" s="456"/>
      <c r="AT391" s="456"/>
      <c r="AU391" s="653"/>
      <c r="AV391" s="653"/>
      <c r="AW391" s="653"/>
      <c r="AX391" s="653"/>
      <c r="AY391" s="653"/>
      <c r="AZ391" s="653"/>
      <c r="BA391" s="653"/>
      <c r="BB391" s="653"/>
      <c r="BC391" s="653"/>
      <c r="BD391" s="653"/>
      <c r="BE391" s="653"/>
      <c r="BF391" s="653"/>
      <c r="BG391" s="653"/>
      <c r="BI391" s="95"/>
      <c r="BJ391" s="95"/>
      <c r="BK391" s="95"/>
      <c r="BL391" s="95"/>
      <c r="BM391" s="95"/>
      <c r="BN391" s="95"/>
      <c r="BO391" s="95"/>
      <c r="BP391" s="95"/>
      <c r="BQ391" s="95"/>
      <c r="BR391" s="95"/>
      <c r="BS391" s="95"/>
      <c r="BT391" s="95"/>
      <c r="BU391" s="95"/>
      <c r="BV391" s="95"/>
      <c r="BW391" s="95"/>
      <c r="BX391" s="95"/>
      <c r="BY391" s="95"/>
      <c r="BZ391" s="95"/>
      <c r="CA391" s="95"/>
      <c r="CB391" s="95"/>
      <c r="CC391" s="95"/>
      <c r="CD391" s="95"/>
      <c r="CE391" s="95"/>
      <c r="CF391" s="433"/>
      <c r="CG391" s="433"/>
      <c r="CH391" s="433"/>
      <c r="CI391" s="433"/>
      <c r="CJ391" s="433"/>
      <c r="CK391" s="433"/>
      <c r="CL391" s="433"/>
      <c r="CM391" s="433"/>
      <c r="CN391" s="433"/>
      <c r="CO391" s="433"/>
      <c r="CP391" s="433"/>
      <c r="CQ391" s="433"/>
      <c r="CR391" s="433"/>
      <c r="CS391" s="433"/>
      <c r="CT391" s="433"/>
      <c r="CU391" s="433"/>
      <c r="CV391" s="433"/>
      <c r="CW391" s="433"/>
      <c r="CX391" s="433"/>
      <c r="CY391" s="433"/>
      <c r="CZ391" s="433"/>
      <c r="DA391" s="433"/>
      <c r="DB391" s="433"/>
      <c r="DC391" s="433"/>
      <c r="DD391" s="433"/>
      <c r="DE391" s="433"/>
      <c r="DF391" s="433"/>
      <c r="DG391" s="433"/>
      <c r="DH391" s="433"/>
      <c r="DI391" s="435"/>
      <c r="DJ391" s="433"/>
      <c r="DK391" s="433"/>
      <c r="DL391" s="433"/>
      <c r="DM391" s="433"/>
      <c r="DN391" s="433"/>
      <c r="DO391" s="433"/>
      <c r="DP391" s="433"/>
      <c r="DQ391" s="433"/>
      <c r="DR391" s="433"/>
      <c r="DS391" s="433"/>
    </row>
    <row r="392" spans="1:123" s="432" customFormat="1" ht="15" customHeight="1">
      <c r="A392" s="2290" t="s">
        <v>1405</v>
      </c>
      <c r="B392" s="1191" t="s">
        <v>1406</v>
      </c>
      <c r="C392" s="1192" t="s">
        <v>853</v>
      </c>
      <c r="D392" s="1193" t="s">
        <v>1407</v>
      </c>
      <c r="E392" s="1194">
        <v>40</v>
      </c>
      <c r="F392" s="1195">
        <v>1062</v>
      </c>
      <c r="G392" s="1194">
        <v>579</v>
      </c>
      <c r="H392" s="683">
        <v>109.35</v>
      </c>
      <c r="I392" s="1157">
        <v>59.31</v>
      </c>
      <c r="J392" s="1196" t="s">
        <v>855</v>
      </c>
      <c r="K392" s="1197" t="s">
        <v>1408</v>
      </c>
      <c r="L392" s="1196" t="s">
        <v>855</v>
      </c>
      <c r="M392" s="1198" t="s">
        <v>1408</v>
      </c>
      <c r="N392" s="1199">
        <v>-2E-3</v>
      </c>
      <c r="O392" s="1200">
        <v>0.36</v>
      </c>
      <c r="P392" s="1200">
        <v>6.0000000000000001E-3</v>
      </c>
      <c r="Q392" s="635" t="s">
        <v>35</v>
      </c>
      <c r="R392" s="1190">
        <v>6.0000000000000001E-3</v>
      </c>
      <c r="S392" s="678" t="s">
        <v>841</v>
      </c>
      <c r="T392" s="559" t="s">
        <v>842</v>
      </c>
      <c r="U392" s="560"/>
      <c r="V392" s="2293" t="s">
        <v>843</v>
      </c>
      <c r="W392" s="1186" t="s">
        <v>175</v>
      </c>
      <c r="X392" s="655" t="s">
        <v>1409</v>
      </c>
      <c r="Y392" s="973">
        <v>0</v>
      </c>
      <c r="Z392" s="973" t="s">
        <v>918</v>
      </c>
      <c r="AA392" s="977" t="s">
        <v>918</v>
      </c>
      <c r="AB392" s="978"/>
      <c r="AC392" s="525"/>
      <c r="AD392" s="2296" t="s">
        <v>846</v>
      </c>
      <c r="AE392" s="2297"/>
      <c r="AF392" s="631" t="s">
        <v>174</v>
      </c>
      <c r="AG392" s="97" t="s">
        <v>1410</v>
      </c>
      <c r="AH392" s="660">
        <f>Y393</f>
        <v>87.362499999999997</v>
      </c>
      <c r="AI392" s="726"/>
      <c r="AJ392" s="726"/>
      <c r="AK392" s="726">
        <v>61.67</v>
      </c>
      <c r="AL392" s="726">
        <v>67.84</v>
      </c>
      <c r="AM392" s="726">
        <v>76.31</v>
      </c>
      <c r="AN392" s="726"/>
      <c r="AO392" s="726"/>
      <c r="AP392" s="726"/>
      <c r="AQ392" s="726"/>
      <c r="AR392" s="726"/>
      <c r="AS392" s="726"/>
      <c r="AT392" s="1201"/>
      <c r="AU392" s="1201"/>
      <c r="AV392" s="1185">
        <f>AH392-AVERAGE(AI392:AU392)</f>
        <v>18.755833333333328</v>
      </c>
      <c r="AW392" s="1202">
        <f>AV392/AVERAGE(AI392:AU392)</f>
        <v>0.27338208143037596</v>
      </c>
      <c r="AX392" s="663"/>
      <c r="AY392" s="663"/>
      <c r="AZ392" s="663"/>
      <c r="BA392" s="663"/>
      <c r="BB392" s="663"/>
      <c r="BC392" s="663"/>
      <c r="BD392" s="663"/>
      <c r="BE392" s="663"/>
      <c r="BF392" s="663"/>
      <c r="BG392" s="663"/>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433"/>
      <c r="CG392" s="433"/>
      <c r="CH392" s="433"/>
      <c r="CI392" s="433"/>
      <c r="CJ392" s="433"/>
      <c r="CK392" s="433"/>
      <c r="CL392" s="433"/>
      <c r="CM392" s="433"/>
      <c r="CN392" s="433"/>
      <c r="CO392" s="433"/>
      <c r="CP392" s="433"/>
      <c r="CQ392" s="433"/>
      <c r="CR392" s="433"/>
      <c r="CS392" s="433"/>
      <c r="CT392" s="433"/>
      <c r="CU392" s="433"/>
      <c r="CV392" s="433"/>
      <c r="CW392" s="433"/>
      <c r="CX392" s="433"/>
      <c r="CY392" s="433"/>
      <c r="CZ392" s="433"/>
      <c r="DA392" s="433"/>
      <c r="DB392" s="433"/>
      <c r="DC392" s="433"/>
      <c r="DD392" s="433"/>
      <c r="DE392" s="433"/>
      <c r="DF392" s="433"/>
      <c r="DG392" s="433"/>
      <c r="DH392" s="433"/>
      <c r="DI392" s="435"/>
      <c r="DJ392" s="433"/>
      <c r="DK392" s="433"/>
      <c r="DL392" s="433"/>
      <c r="DM392" s="433"/>
      <c r="DN392" s="433"/>
      <c r="DO392" s="433"/>
      <c r="DP392" s="433"/>
      <c r="DQ392" s="433"/>
      <c r="DR392" s="433"/>
      <c r="DS392" s="433"/>
    </row>
    <row r="393" spans="1:123" s="432" customFormat="1" ht="15" customHeight="1">
      <c r="A393" s="2291"/>
      <c r="B393" s="2298" t="s">
        <v>1411</v>
      </c>
      <c r="C393" s="2299" t="s">
        <v>839</v>
      </c>
      <c r="D393" s="677" t="s">
        <v>1403</v>
      </c>
      <c r="E393" s="471">
        <v>2</v>
      </c>
      <c r="F393" s="585" t="s">
        <v>35</v>
      </c>
      <c r="G393" s="585" t="s">
        <v>35</v>
      </c>
      <c r="H393" s="683">
        <v>56.88</v>
      </c>
      <c r="I393" s="1157">
        <v>9.7200000000000006</v>
      </c>
      <c r="J393" s="551" t="s">
        <v>35</v>
      </c>
      <c r="K393" s="552" t="s">
        <v>35</v>
      </c>
      <c r="L393" s="551" t="s">
        <v>35</v>
      </c>
      <c r="M393" s="552" t="s">
        <v>35</v>
      </c>
      <c r="N393" s="464">
        <v>-60.55</v>
      </c>
      <c r="O393" s="2300">
        <v>3.35</v>
      </c>
      <c r="P393" s="2300">
        <v>18.07</v>
      </c>
      <c r="Q393" s="467">
        <f t="shared" ref="Q393:Q412" si="33">E393/40</f>
        <v>0.05</v>
      </c>
      <c r="R393" s="2301">
        <f>SUMPRODUCT(Q393:Q394,N393:N394)</f>
        <v>-3.0274999999999999</v>
      </c>
      <c r="S393" s="974" t="s">
        <v>1412</v>
      </c>
      <c r="T393" s="500" t="s">
        <v>1065</v>
      </c>
      <c r="U393" s="591"/>
      <c r="V393" s="2294"/>
      <c r="W393" s="677" t="s">
        <v>174</v>
      </c>
      <c r="X393" s="97" t="s">
        <v>1410</v>
      </c>
      <c r="Y393" s="973">
        <f>((300*$R$392)+$T$399+$N$394+$N$396+$N$398+$N$400+$N$402+$N$407)*(1+$T$401)</f>
        <v>87.362499999999997</v>
      </c>
      <c r="Z393" s="973">
        <f>Y393</f>
        <v>87.362499999999997</v>
      </c>
      <c r="AA393" s="977">
        <f>12.31/109.35*Y393</f>
        <v>9.8347725194330149</v>
      </c>
      <c r="AB393" s="978"/>
      <c r="AC393" s="525"/>
      <c r="AD393" s="490" t="s">
        <v>795</v>
      </c>
      <c r="AE393" s="584">
        <v>0</v>
      </c>
      <c r="AF393" s="573" t="s">
        <v>174</v>
      </c>
      <c r="AG393" s="24" t="s">
        <v>1413</v>
      </c>
      <c r="AH393" s="660">
        <f t="shared" ref="AH393:AH395" si="34">Y394</f>
        <v>164.38749999999999</v>
      </c>
      <c r="AI393" s="726"/>
      <c r="AJ393" s="726"/>
      <c r="AK393" s="726"/>
      <c r="AL393" s="726">
        <v>128.33000000000001</v>
      </c>
      <c r="AM393" s="726">
        <v>157.79</v>
      </c>
      <c r="AN393" s="726"/>
      <c r="AO393" s="726"/>
      <c r="AP393" s="726"/>
      <c r="AQ393" s="726"/>
      <c r="AR393" s="726">
        <v>134.29</v>
      </c>
      <c r="AS393" s="726"/>
      <c r="AT393" s="726"/>
      <c r="AU393" s="726"/>
      <c r="AV393" s="1185">
        <f t="shared" ref="AV393:AV395" si="35">AH393-AVERAGE(AI393:AU393)</f>
        <v>24.250833333333333</v>
      </c>
      <c r="AW393" s="1202">
        <f t="shared" ref="AW393:AW395" si="36">AV393/AVERAGE(AI393:AU393)</f>
        <v>0.17305130705739635</v>
      </c>
      <c r="AX393" s="663"/>
      <c r="AY393" s="663"/>
      <c r="AZ393" s="663"/>
      <c r="BA393" s="663"/>
      <c r="BB393" s="663"/>
      <c r="BC393" s="663"/>
      <c r="BD393" s="663"/>
      <c r="BE393" s="663"/>
      <c r="BF393" s="663"/>
      <c r="BG393" s="663"/>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433"/>
      <c r="CG393" s="433"/>
      <c r="CH393" s="433"/>
      <c r="CI393" s="433"/>
      <c r="CJ393" s="433"/>
      <c r="CK393" s="433"/>
      <c r="CL393" s="433"/>
      <c r="CM393" s="433"/>
      <c r="CN393" s="433"/>
      <c r="CO393" s="433"/>
      <c r="CP393" s="433"/>
      <c r="CQ393" s="433"/>
      <c r="CR393" s="433"/>
      <c r="CS393" s="433"/>
      <c r="CT393" s="433"/>
      <c r="CU393" s="433"/>
      <c r="CV393" s="433"/>
      <c r="CW393" s="433"/>
      <c r="CX393" s="433"/>
      <c r="CY393" s="433"/>
      <c r="CZ393" s="433"/>
      <c r="DA393" s="433"/>
      <c r="DB393" s="433"/>
      <c r="DC393" s="433"/>
      <c r="DD393" s="433"/>
      <c r="DE393" s="433"/>
      <c r="DF393" s="433"/>
      <c r="DG393" s="433"/>
      <c r="DH393" s="433"/>
      <c r="DI393" s="435"/>
      <c r="DJ393" s="433"/>
      <c r="DK393" s="433"/>
      <c r="DL393" s="433"/>
      <c r="DM393" s="433"/>
      <c r="DN393" s="433"/>
      <c r="DO393" s="433"/>
      <c r="DP393" s="433"/>
      <c r="DQ393" s="433"/>
      <c r="DR393" s="433"/>
      <c r="DS393" s="433"/>
    </row>
    <row r="394" spans="1:123" s="432" customFormat="1" ht="15" customHeight="1">
      <c r="A394" s="2291"/>
      <c r="B394" s="2282"/>
      <c r="C394" s="2274"/>
      <c r="D394" s="92" t="s">
        <v>64</v>
      </c>
      <c r="E394" s="487">
        <v>38</v>
      </c>
      <c r="F394" s="585" t="s">
        <v>35</v>
      </c>
      <c r="G394" s="585" t="s">
        <v>35</v>
      </c>
      <c r="H394" s="683">
        <v>112.11</v>
      </c>
      <c r="I394" s="1157">
        <v>59.57</v>
      </c>
      <c r="J394" s="571" t="s">
        <v>35</v>
      </c>
      <c r="K394" s="572" t="s">
        <v>35</v>
      </c>
      <c r="L394" s="571" t="s">
        <v>35</v>
      </c>
      <c r="M394" s="572" t="s">
        <v>35</v>
      </c>
      <c r="N394" s="1203">
        <v>0</v>
      </c>
      <c r="O394" s="2284"/>
      <c r="P394" s="2284"/>
      <c r="Q394" s="486">
        <f t="shared" si="33"/>
        <v>0.95</v>
      </c>
      <c r="R394" s="2285"/>
      <c r="S394" s="667" t="s">
        <v>858</v>
      </c>
      <c r="T394" s="499" t="s">
        <v>859</v>
      </c>
      <c r="U394" s="470"/>
      <c r="V394" s="2295"/>
      <c r="W394" s="92" t="s">
        <v>174</v>
      </c>
      <c r="X394" s="24" t="s">
        <v>1413</v>
      </c>
      <c r="Y394" s="973">
        <f>((1000*$R$392)+$T$399+$N$394+$N$396+$N$398+$N$400+$N$401+$N$409)*(1+$T$401)</f>
        <v>164.38749999999999</v>
      </c>
      <c r="Z394" s="973">
        <f t="shared" ref="Z394:Z396" si="37">Y394</f>
        <v>164.38749999999999</v>
      </c>
      <c r="AA394" s="977">
        <f>12.31/109.35*Y394</f>
        <v>18.50580818472794</v>
      </c>
      <c r="AB394" s="978"/>
      <c r="AC394" s="525"/>
      <c r="AD394" s="490" t="s">
        <v>874</v>
      </c>
      <c r="AE394" s="584">
        <v>0.107</v>
      </c>
      <c r="AF394" s="573" t="s">
        <v>174</v>
      </c>
      <c r="AG394" s="97" t="s">
        <v>1414</v>
      </c>
      <c r="AH394" s="660">
        <f t="shared" si="34"/>
        <v>323.71250000000003</v>
      </c>
      <c r="AI394" s="726">
        <v>285.54000000000002</v>
      </c>
      <c r="AJ394" s="726">
        <v>174</v>
      </c>
      <c r="AK394" s="726"/>
      <c r="AL394" s="726"/>
      <c r="AM394" s="726"/>
      <c r="AN394" s="726"/>
      <c r="AO394" s="726"/>
      <c r="AP394" s="726"/>
      <c r="AQ394" s="726"/>
      <c r="AR394" s="726"/>
      <c r="AS394" s="726">
        <v>189</v>
      </c>
      <c r="AT394" s="726">
        <v>212.06</v>
      </c>
      <c r="AU394" s="726">
        <v>134</v>
      </c>
      <c r="AV394" s="1185">
        <f t="shared" si="35"/>
        <v>124.79250000000005</v>
      </c>
      <c r="AW394" s="1202">
        <f t="shared" si="36"/>
        <v>0.62735019103157075</v>
      </c>
      <c r="AX394" s="663"/>
      <c r="AY394" s="663"/>
      <c r="AZ394" s="663"/>
      <c r="BA394" s="663"/>
      <c r="BB394" s="663"/>
      <c r="BC394" s="663"/>
      <c r="BD394" s="663"/>
      <c r="BE394" s="663"/>
      <c r="BF394" s="663"/>
      <c r="BG394" s="663"/>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433"/>
      <c r="CG394" s="433"/>
      <c r="CH394" s="433"/>
      <c r="CI394" s="433"/>
      <c r="CJ394" s="433"/>
      <c r="CK394" s="433"/>
      <c r="CL394" s="433"/>
      <c r="CM394" s="433"/>
      <c r="CN394" s="433"/>
      <c r="CO394" s="433"/>
      <c r="CP394" s="433"/>
      <c r="CQ394" s="433"/>
      <c r="CR394" s="433"/>
      <c r="CS394" s="433"/>
      <c r="CT394" s="433"/>
      <c r="CU394" s="433"/>
      <c r="CV394" s="433"/>
      <c r="CW394" s="433"/>
      <c r="CX394" s="433"/>
      <c r="CY394" s="433"/>
      <c r="CZ394" s="433"/>
      <c r="DA394" s="433"/>
      <c r="DB394" s="433"/>
      <c r="DC394" s="433"/>
      <c r="DD394" s="433"/>
      <c r="DE394" s="433"/>
      <c r="DF394" s="433"/>
      <c r="DG394" s="433"/>
      <c r="DH394" s="433"/>
      <c r="DI394" s="435"/>
      <c r="DJ394" s="433"/>
      <c r="DK394" s="433"/>
      <c r="DL394" s="433"/>
      <c r="DM394" s="433"/>
      <c r="DN394" s="433"/>
      <c r="DO394" s="433"/>
      <c r="DP394" s="433"/>
      <c r="DQ394" s="433"/>
      <c r="DR394" s="433"/>
      <c r="DS394" s="433"/>
    </row>
    <row r="395" spans="1:123" s="432" customFormat="1" ht="15" customHeight="1">
      <c r="A395" s="2291"/>
      <c r="B395" s="2282" t="s">
        <v>1415</v>
      </c>
      <c r="C395" s="2274" t="s">
        <v>839</v>
      </c>
      <c r="D395" s="92" t="s">
        <v>1403</v>
      </c>
      <c r="E395" s="487">
        <v>1</v>
      </c>
      <c r="F395" s="585" t="s">
        <v>35</v>
      </c>
      <c r="G395" s="585" t="s">
        <v>35</v>
      </c>
      <c r="H395" s="683">
        <v>166.69</v>
      </c>
      <c r="I395" s="572" t="s">
        <v>35</v>
      </c>
      <c r="J395" s="571" t="s">
        <v>35</v>
      </c>
      <c r="K395" s="572" t="s">
        <v>35</v>
      </c>
      <c r="L395" s="571" t="s">
        <v>35</v>
      </c>
      <c r="M395" s="572" t="s">
        <v>35</v>
      </c>
      <c r="N395" s="482">
        <v>49.27</v>
      </c>
      <c r="O395" s="2283">
        <v>2.21</v>
      </c>
      <c r="P395" s="2283">
        <v>22.33</v>
      </c>
      <c r="Q395" s="486">
        <f t="shared" si="33"/>
        <v>2.5000000000000001E-2</v>
      </c>
      <c r="R395" s="2285">
        <f>SUMPRODUCT(Q395:Q396,N395:N396)</f>
        <v>1.2317500000000001</v>
      </c>
      <c r="S395" s="748" t="s">
        <v>310</v>
      </c>
      <c r="T395" s="749" t="s">
        <v>1019</v>
      </c>
      <c r="U395" s="591"/>
      <c r="V395" s="2302" t="s">
        <v>1008</v>
      </c>
      <c r="W395" s="92" t="s">
        <v>174</v>
      </c>
      <c r="X395" s="97" t="s">
        <v>1416</v>
      </c>
      <c r="Y395" s="973">
        <f>((2000*$R$392)+$T$399+$N$394+$N$396+$N$397+$N$400+$N$402+$N$407)*(1+$T$401)</f>
        <v>323.71250000000003</v>
      </c>
      <c r="Z395" s="973">
        <f t="shared" si="37"/>
        <v>323.71250000000003</v>
      </c>
      <c r="AA395" s="977">
        <f>12.31/109.35*Y395</f>
        <v>36.44170896204848</v>
      </c>
      <c r="AB395" s="978"/>
      <c r="AC395" s="525"/>
      <c r="AD395" s="490" t="s">
        <v>977</v>
      </c>
      <c r="AE395" s="584">
        <v>-0.104</v>
      </c>
      <c r="AF395" s="573" t="s">
        <v>174</v>
      </c>
      <c r="AG395" s="97" t="s">
        <v>1417</v>
      </c>
      <c r="AH395" s="660">
        <f t="shared" si="34"/>
        <v>164.38749999999999</v>
      </c>
      <c r="AI395" s="726"/>
      <c r="AJ395" s="726"/>
      <c r="AK395" s="726"/>
      <c r="AL395" s="726"/>
      <c r="AM395" s="726"/>
      <c r="AN395" s="726">
        <v>72.2</v>
      </c>
      <c r="AO395" s="726">
        <v>78.569999999999993</v>
      </c>
      <c r="AP395" s="726">
        <v>104</v>
      </c>
      <c r="AQ395" s="726">
        <v>146</v>
      </c>
      <c r="AR395" s="726"/>
      <c r="AS395" s="726"/>
      <c r="AT395" s="726"/>
      <c r="AU395" s="726">
        <v>119</v>
      </c>
      <c r="AV395" s="1185">
        <f t="shared" si="35"/>
        <v>60.433499999999995</v>
      </c>
      <c r="AW395" s="1202">
        <f t="shared" si="36"/>
        <v>0.58134848105892989</v>
      </c>
      <c r="AX395" s="663"/>
      <c r="AY395" s="663"/>
      <c r="AZ395" s="663"/>
      <c r="BA395" s="663"/>
      <c r="BB395" s="663"/>
      <c r="BC395" s="663"/>
      <c r="BD395" s="663"/>
      <c r="BE395" s="663"/>
      <c r="BF395" s="663"/>
      <c r="BG395" s="663"/>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433"/>
      <c r="CG395" s="433"/>
      <c r="CH395" s="433"/>
      <c r="CI395" s="433"/>
      <c r="CJ395" s="433"/>
      <c r="CK395" s="433"/>
      <c r="CL395" s="433"/>
      <c r="CM395" s="433"/>
      <c r="CN395" s="433"/>
      <c r="CO395" s="433"/>
      <c r="CP395" s="433"/>
      <c r="CQ395" s="433"/>
      <c r="CR395" s="433"/>
      <c r="CS395" s="433"/>
      <c r="CT395" s="433"/>
      <c r="CU395" s="433"/>
      <c r="CV395" s="433"/>
      <c r="CW395" s="433"/>
      <c r="CX395" s="433"/>
      <c r="CY395" s="433"/>
      <c r="CZ395" s="433"/>
      <c r="DA395" s="433"/>
      <c r="DB395" s="433"/>
      <c r="DC395" s="433"/>
      <c r="DD395" s="433"/>
      <c r="DE395" s="433"/>
      <c r="DF395" s="433"/>
      <c r="DG395" s="433"/>
      <c r="DH395" s="433"/>
      <c r="DI395" s="435"/>
      <c r="DJ395" s="433"/>
      <c r="DK395" s="433"/>
      <c r="DL395" s="433"/>
      <c r="DM395" s="433"/>
      <c r="DN395" s="433"/>
      <c r="DO395" s="433"/>
      <c r="DP395" s="433"/>
      <c r="DQ395" s="433"/>
      <c r="DR395" s="433"/>
      <c r="DS395" s="433"/>
    </row>
    <row r="396" spans="1:123" s="432" customFormat="1" ht="15" customHeight="1">
      <c r="A396" s="2291"/>
      <c r="B396" s="2282"/>
      <c r="C396" s="2274"/>
      <c r="D396" s="92" t="s">
        <v>64</v>
      </c>
      <c r="E396" s="564">
        <v>39</v>
      </c>
      <c r="F396" s="585" t="s">
        <v>35</v>
      </c>
      <c r="G396" s="585" t="s">
        <v>35</v>
      </c>
      <c r="H396" s="683">
        <v>107.88</v>
      </c>
      <c r="I396" s="1157">
        <v>59.34</v>
      </c>
      <c r="J396" s="571" t="s">
        <v>35</v>
      </c>
      <c r="K396" s="572" t="s">
        <v>35</v>
      </c>
      <c r="L396" s="571" t="s">
        <v>35</v>
      </c>
      <c r="M396" s="572" t="s">
        <v>35</v>
      </c>
      <c r="N396" s="1203">
        <v>0</v>
      </c>
      <c r="O396" s="2284"/>
      <c r="P396" s="2284"/>
      <c r="Q396" s="486">
        <f t="shared" si="33"/>
        <v>0.97499999999999998</v>
      </c>
      <c r="R396" s="2285"/>
      <c r="S396" s="667" t="s">
        <v>868</v>
      </c>
      <c r="T396" s="637" t="s">
        <v>869</v>
      </c>
      <c r="U396" s="560"/>
      <c r="V396" s="2302"/>
      <c r="W396" s="92" t="s">
        <v>174</v>
      </c>
      <c r="X396" s="97" t="s">
        <v>1417</v>
      </c>
      <c r="Y396" s="973">
        <f>((1000*$R$392)+$T$399+$N$394+$N$396+$N$398+$N$400+$N$401+$N$409)*(1+$T$401)</f>
        <v>164.38749999999999</v>
      </c>
      <c r="Z396" s="973">
        <f t="shared" si="37"/>
        <v>164.38749999999999</v>
      </c>
      <c r="AA396" s="977">
        <f>12.31/109.35*Y396</f>
        <v>18.50580818472794</v>
      </c>
      <c r="AB396" s="978"/>
      <c r="AC396" s="525"/>
      <c r="AD396" s="490" t="s">
        <v>978</v>
      </c>
      <c r="AE396" s="584">
        <v>0.14699999999999999</v>
      </c>
      <c r="AF396" s="757"/>
      <c r="AG396" s="525"/>
      <c r="AH396" s="477"/>
      <c r="AI396" s="477"/>
      <c r="AJ396" s="477"/>
      <c r="AK396" s="477"/>
      <c r="AL396" s="477"/>
      <c r="AM396" s="477"/>
      <c r="AN396" s="477"/>
      <c r="AO396" s="477"/>
      <c r="AP396" s="477"/>
      <c r="AQ396" s="477"/>
      <c r="AR396" s="477"/>
      <c r="AS396" s="477"/>
      <c r="AT396" s="477"/>
      <c r="AU396" s="477"/>
      <c r="AV396" s="477"/>
      <c r="AW396" s="477"/>
      <c r="AX396" s="477"/>
      <c r="AY396" s="477"/>
      <c r="AZ396" s="477"/>
      <c r="BA396" s="477"/>
      <c r="BB396" s="477"/>
      <c r="BC396" s="477"/>
      <c r="BD396" s="477"/>
      <c r="BE396" s="477"/>
      <c r="BF396" s="477"/>
      <c r="BG396" s="477"/>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433"/>
      <c r="CG396" s="433"/>
      <c r="CH396" s="433"/>
      <c r="CI396" s="433"/>
      <c r="CJ396" s="433"/>
      <c r="CK396" s="433"/>
      <c r="CL396" s="433"/>
      <c r="CM396" s="433"/>
      <c r="CN396" s="433"/>
      <c r="CO396" s="433"/>
      <c r="CP396" s="433"/>
      <c r="CQ396" s="433"/>
      <c r="CR396" s="433"/>
      <c r="CS396" s="433"/>
      <c r="CT396" s="433"/>
      <c r="CU396" s="433"/>
      <c r="CV396" s="433"/>
      <c r="CW396" s="433"/>
      <c r="CX396" s="433"/>
      <c r="CY396" s="433"/>
      <c r="CZ396" s="433"/>
      <c r="DA396" s="433"/>
      <c r="DB396" s="433"/>
      <c r="DC396" s="433"/>
      <c r="DD396" s="433"/>
      <c r="DE396" s="433"/>
      <c r="DF396" s="433"/>
      <c r="DG396" s="433"/>
      <c r="DH396" s="433"/>
      <c r="DI396" s="435"/>
      <c r="DJ396" s="433"/>
      <c r="DK396" s="433"/>
      <c r="DL396" s="433"/>
      <c r="DM396" s="433"/>
      <c r="DN396" s="433"/>
      <c r="DO396" s="433"/>
      <c r="DP396" s="433"/>
      <c r="DQ396" s="433"/>
      <c r="DR396" s="433"/>
      <c r="DS396" s="433"/>
    </row>
    <row r="397" spans="1:123" s="432" customFormat="1" ht="15" customHeight="1">
      <c r="A397" s="2291"/>
      <c r="B397" s="2282" t="s">
        <v>1418</v>
      </c>
      <c r="C397" s="2274" t="s">
        <v>839</v>
      </c>
      <c r="D397" s="92" t="s">
        <v>1403</v>
      </c>
      <c r="E397" s="487">
        <v>3</v>
      </c>
      <c r="F397" s="585" t="s">
        <v>35</v>
      </c>
      <c r="G397" s="585" t="s">
        <v>35</v>
      </c>
      <c r="H397" s="683">
        <v>246.97</v>
      </c>
      <c r="I397" s="1157">
        <v>0</v>
      </c>
      <c r="J397" s="571" t="s">
        <v>35</v>
      </c>
      <c r="K397" s="572" t="s">
        <v>35</v>
      </c>
      <c r="L397" s="571" t="s">
        <v>35</v>
      </c>
      <c r="M397" s="572" t="s">
        <v>35</v>
      </c>
      <c r="N397" s="482">
        <v>178.88</v>
      </c>
      <c r="O397" s="2283">
        <v>14.08</v>
      </c>
      <c r="P397" s="2283">
        <v>12.71</v>
      </c>
      <c r="Q397" s="486">
        <f t="shared" si="33"/>
        <v>7.4999999999999997E-2</v>
      </c>
      <c r="R397" s="2285">
        <f>SUMPRODUCT(Q397:Q398,N397:N398)</f>
        <v>13.415999999999999</v>
      </c>
      <c r="S397" s="564">
        <v>40</v>
      </c>
      <c r="T397" s="488" t="s">
        <v>35</v>
      </c>
      <c r="U397" s="452"/>
      <c r="V397" s="524"/>
      <c r="W397" s="525"/>
      <c r="X397" s="525"/>
      <c r="Y397" s="525"/>
      <c r="Z397" s="525"/>
      <c r="AA397" s="525"/>
      <c r="AB397" s="891"/>
      <c r="AC397" s="525"/>
      <c r="AD397" s="524"/>
      <c r="AE397" s="525"/>
      <c r="AF397" s="757"/>
      <c r="AG397" s="525"/>
      <c r="AH397" s="477"/>
      <c r="AI397" s="477"/>
      <c r="AJ397" s="477"/>
      <c r="AK397" s="477"/>
      <c r="AL397" s="477"/>
      <c r="AM397" s="477"/>
      <c r="AN397" s="477"/>
      <c r="AO397" s="477"/>
      <c r="AP397" s="477"/>
      <c r="AQ397" s="477"/>
      <c r="AR397" s="477"/>
      <c r="AS397" s="477"/>
      <c r="AT397" s="477"/>
      <c r="AU397" s="477"/>
      <c r="AV397" s="477"/>
      <c r="AW397" s="477"/>
      <c r="AX397" s="477"/>
      <c r="AY397" s="477"/>
      <c r="AZ397" s="477"/>
      <c r="BA397" s="477"/>
      <c r="BB397" s="477"/>
      <c r="BC397" s="477"/>
      <c r="BD397" s="477"/>
      <c r="BE397" s="477"/>
      <c r="BF397" s="477"/>
      <c r="BG397" s="477"/>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433"/>
      <c r="CG397" s="433"/>
      <c r="CH397" s="433"/>
      <c r="CI397" s="433"/>
      <c r="CJ397" s="433"/>
      <c r="CK397" s="433"/>
      <c r="CL397" s="433"/>
      <c r="CM397" s="433"/>
      <c r="CN397" s="433"/>
      <c r="CO397" s="433"/>
      <c r="CP397" s="433"/>
      <c r="CQ397" s="433"/>
      <c r="CR397" s="433"/>
      <c r="CS397" s="433"/>
      <c r="CT397" s="433"/>
      <c r="CU397" s="433"/>
      <c r="CV397" s="433"/>
      <c r="CW397" s="433"/>
      <c r="CX397" s="433"/>
      <c r="CY397" s="433"/>
      <c r="CZ397" s="433"/>
      <c r="DA397" s="433"/>
      <c r="DB397" s="433"/>
      <c r="DC397" s="433"/>
      <c r="DD397" s="433"/>
      <c r="DE397" s="433"/>
      <c r="DF397" s="433"/>
      <c r="DG397" s="433"/>
      <c r="DH397" s="433"/>
      <c r="DI397" s="435"/>
      <c r="DJ397" s="433"/>
      <c r="DK397" s="433"/>
      <c r="DL397" s="433"/>
      <c r="DM397" s="433"/>
      <c r="DN397" s="433"/>
      <c r="DO397" s="433"/>
      <c r="DP397" s="433"/>
      <c r="DQ397" s="433"/>
      <c r="DR397" s="433"/>
      <c r="DS397" s="433"/>
    </row>
    <row r="398" spans="1:123" s="432" customFormat="1" ht="15" customHeight="1">
      <c r="A398" s="2291"/>
      <c r="B398" s="2282"/>
      <c r="C398" s="2274"/>
      <c r="D398" s="92" t="s">
        <v>64</v>
      </c>
      <c r="E398" s="487">
        <v>37</v>
      </c>
      <c r="F398" s="585" t="s">
        <v>35</v>
      </c>
      <c r="G398" s="585" t="s">
        <v>35</v>
      </c>
      <c r="H398" s="683">
        <v>98.19</v>
      </c>
      <c r="I398" s="1157">
        <v>45.88</v>
      </c>
      <c r="J398" s="571" t="s">
        <v>35</v>
      </c>
      <c r="K398" s="572" t="s">
        <v>35</v>
      </c>
      <c r="L398" s="571" t="s">
        <v>35</v>
      </c>
      <c r="M398" s="572" t="s">
        <v>35</v>
      </c>
      <c r="N398" s="1203">
        <v>0</v>
      </c>
      <c r="O398" s="2284"/>
      <c r="P398" s="2284"/>
      <c r="Q398" s="486">
        <f t="shared" si="33"/>
        <v>0.92500000000000004</v>
      </c>
      <c r="R398" s="2285"/>
      <c r="S398" s="667" t="s">
        <v>876</v>
      </c>
      <c r="T398" s="637" t="s">
        <v>877</v>
      </c>
      <c r="U398" s="560"/>
      <c r="V398" s="524"/>
      <c r="W398" s="525"/>
      <c r="X398" s="525"/>
      <c r="Y398" s="525"/>
      <c r="Z398" s="525"/>
      <c r="AA398" s="525"/>
      <c r="AB398" s="891"/>
      <c r="AC398" s="525"/>
      <c r="AD398" s="524"/>
      <c r="AE398" s="525"/>
      <c r="AF398" s="757"/>
      <c r="AG398" s="525"/>
      <c r="AH398" s="477"/>
      <c r="AI398" s="477"/>
      <c r="AJ398" s="477"/>
      <c r="AK398" s="477"/>
      <c r="AL398" s="477"/>
      <c r="AM398" s="477"/>
      <c r="AN398" s="477"/>
      <c r="AO398" s="477"/>
      <c r="AP398" s="477"/>
      <c r="AQ398" s="477"/>
      <c r="AR398" s="477"/>
      <c r="AS398" s="477"/>
      <c r="AT398" s="477"/>
      <c r="AU398" s="477"/>
      <c r="AV398" s="477"/>
      <c r="AW398" s="477"/>
      <c r="AX398" s="477"/>
      <c r="AY398" s="477"/>
      <c r="AZ398" s="477"/>
      <c r="BA398" s="477"/>
      <c r="BB398" s="477"/>
      <c r="BC398" s="477"/>
      <c r="BD398" s="477"/>
      <c r="BE398" s="477"/>
      <c r="BF398" s="477"/>
      <c r="BG398" s="477"/>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433"/>
      <c r="CG398" s="433"/>
      <c r="CH398" s="433"/>
      <c r="CI398" s="433"/>
      <c r="CJ398" s="433"/>
      <c r="CK398" s="433"/>
      <c r="CL398" s="433"/>
      <c r="CM398" s="433"/>
      <c r="CN398" s="433"/>
      <c r="CO398" s="433"/>
      <c r="CP398" s="433"/>
      <c r="CQ398" s="433"/>
      <c r="CR398" s="433"/>
      <c r="CS398" s="433"/>
      <c r="CT398" s="433"/>
      <c r="CU398" s="433"/>
      <c r="CV398" s="433"/>
      <c r="CW398" s="433"/>
      <c r="CX398" s="433"/>
      <c r="CY398" s="433"/>
      <c r="CZ398" s="433"/>
      <c r="DA398" s="433"/>
      <c r="DB398" s="433"/>
      <c r="DC398" s="433"/>
      <c r="DD398" s="433"/>
      <c r="DE398" s="433"/>
      <c r="DF398" s="433"/>
      <c r="DG398" s="433"/>
      <c r="DH398" s="433"/>
      <c r="DI398" s="435"/>
      <c r="DJ398" s="433"/>
      <c r="DK398" s="433"/>
      <c r="DL398" s="433"/>
      <c r="DM398" s="433"/>
      <c r="DN398" s="433"/>
      <c r="DO398" s="433"/>
      <c r="DP398" s="433"/>
      <c r="DQ398" s="433"/>
      <c r="DR398" s="433"/>
      <c r="DS398" s="433"/>
    </row>
    <row r="399" spans="1:123" s="433" customFormat="1" ht="15" customHeight="1">
      <c r="A399" s="2291"/>
      <c r="B399" s="2282" t="s">
        <v>1419</v>
      </c>
      <c r="C399" s="2274" t="s">
        <v>839</v>
      </c>
      <c r="D399" s="92" t="s">
        <v>1403</v>
      </c>
      <c r="E399" s="487">
        <v>2</v>
      </c>
      <c r="F399" s="585" t="s">
        <v>35</v>
      </c>
      <c r="G399" s="585" t="s">
        <v>35</v>
      </c>
      <c r="H399" s="683">
        <v>197.29</v>
      </c>
      <c r="I399" s="1157">
        <v>0</v>
      </c>
      <c r="J399" s="571" t="s">
        <v>35</v>
      </c>
      <c r="K399" s="572" t="s">
        <v>35</v>
      </c>
      <c r="L399" s="571" t="s">
        <v>35</v>
      </c>
      <c r="M399" s="572" t="s">
        <v>35</v>
      </c>
      <c r="N399" s="482">
        <v>101.15</v>
      </c>
      <c r="O399" s="2283">
        <v>5.91</v>
      </c>
      <c r="P399" s="2283">
        <v>17.13</v>
      </c>
      <c r="Q399" s="486">
        <f t="shared" si="33"/>
        <v>0.05</v>
      </c>
      <c r="R399" s="2285">
        <f>SUMPRODUCT(Q399:Q400,N399:N400)</f>
        <v>5.057500000000001</v>
      </c>
      <c r="S399" s="568">
        <v>0.92700000000000005</v>
      </c>
      <c r="T399" s="997">
        <v>117.42</v>
      </c>
      <c r="U399" s="998"/>
      <c r="V399" s="524"/>
      <c r="W399" s="525"/>
      <c r="X399" s="525"/>
      <c r="Y399" s="525"/>
      <c r="Z399" s="525"/>
      <c r="AA399" s="525"/>
      <c r="AB399" s="891"/>
      <c r="AC399" s="525"/>
      <c r="AD399" s="524"/>
      <c r="AE399" s="525"/>
      <c r="AF399" s="757"/>
      <c r="AG399" s="525"/>
      <c r="AH399" s="477"/>
      <c r="AI399" s="477"/>
      <c r="AJ399" s="477"/>
      <c r="AK399" s="477"/>
      <c r="AL399" s="477"/>
      <c r="AM399" s="477"/>
      <c r="AN399" s="477"/>
      <c r="AO399" s="477"/>
      <c r="AP399" s="477"/>
      <c r="AQ399" s="477"/>
      <c r="AR399" s="477"/>
      <c r="AS399" s="477"/>
      <c r="AT399" s="477"/>
      <c r="AU399" s="477"/>
      <c r="AV399" s="477"/>
      <c r="AW399" s="477"/>
      <c r="AX399" s="477"/>
      <c r="AY399" s="477"/>
      <c r="AZ399" s="477"/>
      <c r="BA399" s="477"/>
      <c r="BB399" s="477"/>
      <c r="BC399" s="477"/>
      <c r="BD399" s="477"/>
      <c r="BE399" s="477"/>
      <c r="BF399" s="477"/>
      <c r="BG399" s="477"/>
      <c r="BH399" s="432"/>
      <c r="BI399" s="95"/>
      <c r="BJ399" s="95"/>
      <c r="BK399" s="95"/>
      <c r="BL399" s="95"/>
      <c r="BM399" s="95"/>
      <c r="BN399" s="95"/>
      <c r="BO399" s="95"/>
      <c r="BP399" s="95"/>
      <c r="BQ399" s="95"/>
      <c r="BR399" s="95"/>
      <c r="BS399" s="95"/>
      <c r="BT399" s="95"/>
      <c r="BU399" s="95"/>
      <c r="BV399" s="95"/>
      <c r="BW399" s="95"/>
      <c r="BX399" s="95"/>
      <c r="BY399" s="95"/>
      <c r="BZ399" s="95"/>
      <c r="CA399" s="95"/>
      <c r="CB399" s="95"/>
      <c r="CC399" s="95"/>
      <c r="CD399" s="95"/>
      <c r="CE399" s="95"/>
      <c r="DI399" s="435"/>
    </row>
    <row r="400" spans="1:123" s="433" customFormat="1" ht="15" customHeight="1">
      <c r="A400" s="2291"/>
      <c r="B400" s="2282"/>
      <c r="C400" s="2274"/>
      <c r="D400" s="92" t="s">
        <v>64</v>
      </c>
      <c r="E400" s="487">
        <v>38</v>
      </c>
      <c r="F400" s="585" t="s">
        <v>35</v>
      </c>
      <c r="G400" s="585" t="s">
        <v>35</v>
      </c>
      <c r="H400" s="683">
        <v>104.72</v>
      </c>
      <c r="I400" s="1157">
        <v>57.17</v>
      </c>
      <c r="J400" s="571" t="s">
        <v>35</v>
      </c>
      <c r="K400" s="572" t="s">
        <v>35</v>
      </c>
      <c r="L400" s="571" t="s">
        <v>35</v>
      </c>
      <c r="M400" s="572" t="s">
        <v>35</v>
      </c>
      <c r="N400" s="1203">
        <v>0</v>
      </c>
      <c r="O400" s="2284"/>
      <c r="P400" s="2284"/>
      <c r="Q400" s="486">
        <f t="shared" si="33"/>
        <v>0.95</v>
      </c>
      <c r="R400" s="2285"/>
      <c r="S400" s="498" t="s">
        <v>883</v>
      </c>
      <c r="T400" s="499" t="s">
        <v>884</v>
      </c>
      <c r="U400" s="470"/>
      <c r="V400" s="524"/>
      <c r="W400" s="525"/>
      <c r="X400" s="525"/>
      <c r="Y400" s="525"/>
      <c r="Z400" s="525"/>
      <c r="AA400" s="525"/>
      <c r="AB400" s="891"/>
      <c r="AC400" s="525"/>
      <c r="AD400" s="524"/>
      <c r="AE400" s="525"/>
      <c r="AF400" s="757"/>
      <c r="AG400" s="525"/>
      <c r="AH400" s="477"/>
      <c r="AI400" s="477"/>
      <c r="AJ400" s="477"/>
      <c r="AK400" s="477"/>
      <c r="AL400" s="477"/>
      <c r="AM400" s="477"/>
      <c r="AN400" s="477"/>
      <c r="AO400" s="477"/>
      <c r="AP400" s="477"/>
      <c r="AQ400" s="477"/>
      <c r="AR400" s="477"/>
      <c r="AS400" s="477"/>
      <c r="AT400" s="477"/>
      <c r="AU400" s="477"/>
      <c r="AV400" s="477"/>
      <c r="AW400" s="477"/>
      <c r="AX400" s="477"/>
      <c r="AY400" s="477"/>
      <c r="AZ400" s="477"/>
      <c r="BA400" s="477"/>
      <c r="BB400" s="477"/>
      <c r="BC400" s="477"/>
      <c r="BD400" s="477"/>
      <c r="BE400" s="477"/>
      <c r="BF400" s="477"/>
      <c r="BG400" s="477"/>
      <c r="BH400" s="432"/>
      <c r="BI400" s="95"/>
      <c r="BJ400" s="95"/>
      <c r="BK400" s="95"/>
      <c r="BL400" s="95"/>
      <c r="BM400" s="95"/>
      <c r="BN400" s="95"/>
      <c r="BO400" s="95"/>
      <c r="BP400" s="95"/>
      <c r="BQ400" s="95"/>
      <c r="BR400" s="95"/>
      <c r="BS400" s="95"/>
      <c r="BT400" s="95"/>
      <c r="BU400" s="95"/>
      <c r="BV400" s="95"/>
      <c r="BW400" s="95"/>
      <c r="BX400" s="95"/>
      <c r="BY400" s="95"/>
      <c r="BZ400" s="95"/>
      <c r="CA400" s="95"/>
      <c r="CB400" s="95"/>
      <c r="CC400" s="95"/>
      <c r="CD400" s="95"/>
      <c r="CE400" s="95"/>
      <c r="DI400" s="435"/>
    </row>
    <row r="401" spans="1:113" s="433" customFormat="1" ht="15.75" customHeight="1">
      <c r="A401" s="2291"/>
      <c r="B401" s="2282" t="s">
        <v>1420</v>
      </c>
      <c r="C401" s="2274" t="s">
        <v>839</v>
      </c>
      <c r="D401" s="92" t="s">
        <v>1403</v>
      </c>
      <c r="E401" s="487">
        <v>15</v>
      </c>
      <c r="F401" s="585" t="s">
        <v>35</v>
      </c>
      <c r="G401" s="585" t="s">
        <v>35</v>
      </c>
      <c r="H401" s="683">
        <v>136.07</v>
      </c>
      <c r="I401" s="1157">
        <v>40.409999999999997</v>
      </c>
      <c r="J401" s="571" t="s">
        <v>35</v>
      </c>
      <c r="K401" s="572" t="s">
        <v>35</v>
      </c>
      <c r="L401" s="571" t="s">
        <v>35</v>
      </c>
      <c r="M401" s="572" t="s">
        <v>35</v>
      </c>
      <c r="N401" s="482">
        <v>42.36</v>
      </c>
      <c r="O401" s="2283">
        <v>5.14</v>
      </c>
      <c r="P401" s="2283">
        <v>8.24</v>
      </c>
      <c r="Q401" s="486">
        <f t="shared" si="33"/>
        <v>0.375</v>
      </c>
      <c r="R401" s="2285">
        <f>SUMPRODUCT(Q401:Q402,N401:N402)</f>
        <v>15.885</v>
      </c>
      <c r="S401" s="568">
        <v>12.31</v>
      </c>
      <c r="T401" s="671">
        <v>0.25</v>
      </c>
      <c r="U401" s="603"/>
      <c r="V401" s="524"/>
      <c r="W401" s="525"/>
      <c r="X401" s="525"/>
      <c r="Y401" s="525"/>
      <c r="Z401" s="525"/>
      <c r="AA401" s="525"/>
      <c r="AB401" s="891"/>
      <c r="AC401" s="525"/>
      <c r="AD401" s="524"/>
      <c r="AE401" s="525"/>
      <c r="AF401" s="757"/>
      <c r="AG401" s="525"/>
      <c r="AH401" s="477"/>
      <c r="AI401" s="477"/>
      <c r="AJ401" s="477"/>
      <c r="AK401" s="477"/>
      <c r="AL401" s="477"/>
      <c r="AM401" s="477"/>
      <c r="AN401" s="477"/>
      <c r="AO401" s="477"/>
      <c r="AP401" s="477"/>
      <c r="AQ401" s="477"/>
      <c r="AR401" s="477"/>
      <c r="AS401" s="477"/>
      <c r="AT401" s="477"/>
      <c r="AU401" s="477"/>
      <c r="AV401" s="477"/>
      <c r="AW401" s="477"/>
      <c r="AX401" s="477"/>
      <c r="AY401" s="477"/>
      <c r="AZ401" s="477"/>
      <c r="BA401" s="477"/>
      <c r="BB401" s="477"/>
      <c r="BC401" s="477"/>
      <c r="BD401" s="477"/>
      <c r="BE401" s="477"/>
      <c r="BF401" s="477"/>
      <c r="BG401" s="477"/>
      <c r="BH401" s="432"/>
      <c r="BI401" s="95"/>
      <c r="BJ401" s="95"/>
      <c r="BK401" s="95"/>
      <c r="BL401" s="95"/>
      <c r="BM401" s="95"/>
      <c r="BN401" s="95"/>
      <c r="BO401" s="95"/>
      <c r="BP401" s="95"/>
      <c r="BQ401" s="95"/>
      <c r="BR401" s="95"/>
      <c r="BS401" s="95"/>
      <c r="BT401" s="95"/>
      <c r="BU401" s="95"/>
      <c r="BV401" s="95"/>
      <c r="BW401" s="95"/>
      <c r="BX401" s="95"/>
      <c r="BY401" s="95"/>
      <c r="BZ401" s="95"/>
      <c r="CA401" s="95"/>
      <c r="CB401" s="95"/>
      <c r="CC401" s="95"/>
      <c r="CD401" s="95"/>
      <c r="CE401" s="95"/>
      <c r="DI401" s="435"/>
    </row>
    <row r="402" spans="1:113" s="433" customFormat="1">
      <c r="A402" s="2291"/>
      <c r="B402" s="2282"/>
      <c r="C402" s="2274"/>
      <c r="D402" s="92" t="s">
        <v>64</v>
      </c>
      <c r="E402" s="487">
        <v>25</v>
      </c>
      <c r="F402" s="585" t="s">
        <v>35</v>
      </c>
      <c r="G402" s="585" t="s">
        <v>35</v>
      </c>
      <c r="H402" s="683">
        <v>93.32</v>
      </c>
      <c r="I402" s="1157">
        <v>63.65</v>
      </c>
      <c r="J402" s="571" t="s">
        <v>35</v>
      </c>
      <c r="K402" s="572" t="s">
        <v>35</v>
      </c>
      <c r="L402" s="571" t="s">
        <v>35</v>
      </c>
      <c r="M402" s="572" t="s">
        <v>35</v>
      </c>
      <c r="N402" s="1203">
        <v>0</v>
      </c>
      <c r="O402" s="2284"/>
      <c r="P402" s="2284"/>
      <c r="Q402" s="486">
        <f t="shared" si="33"/>
        <v>0.625</v>
      </c>
      <c r="R402" s="2285"/>
      <c r="S402" s="525"/>
      <c r="T402" s="525"/>
      <c r="U402" s="672"/>
      <c r="V402" s="524"/>
      <c r="W402" s="525"/>
      <c r="X402" s="525"/>
      <c r="Y402" s="525"/>
      <c r="Z402" s="525"/>
      <c r="AA402" s="525"/>
      <c r="AB402" s="891"/>
      <c r="AC402" s="525"/>
      <c r="AD402" s="524"/>
      <c r="AE402" s="525"/>
      <c r="AF402" s="757"/>
      <c r="AG402" s="525"/>
      <c r="AH402" s="477"/>
      <c r="AI402" s="477"/>
      <c r="AJ402" s="477"/>
      <c r="AK402" s="477"/>
      <c r="AL402" s="477"/>
      <c r="AM402" s="477"/>
      <c r="AN402" s="477"/>
      <c r="AO402" s="477"/>
      <c r="AP402" s="477"/>
      <c r="AQ402" s="477"/>
      <c r="AR402" s="477"/>
      <c r="AS402" s="477"/>
      <c r="AT402" s="477"/>
      <c r="AU402" s="477"/>
      <c r="AV402" s="477"/>
      <c r="AW402" s="477"/>
      <c r="AX402" s="477"/>
      <c r="AY402" s="477"/>
      <c r="AZ402" s="477"/>
      <c r="BA402" s="477"/>
      <c r="BB402" s="477"/>
      <c r="BC402" s="477"/>
      <c r="BD402" s="477"/>
      <c r="BE402" s="477"/>
      <c r="BF402" s="477"/>
      <c r="BG402" s="477"/>
      <c r="BH402" s="432"/>
      <c r="BI402" s="95"/>
      <c r="BJ402" s="95"/>
      <c r="BK402" s="95"/>
      <c r="BL402" s="95"/>
      <c r="BM402" s="95"/>
      <c r="BN402" s="95"/>
      <c r="BO402" s="95"/>
      <c r="BP402" s="95"/>
      <c r="BQ402" s="95"/>
      <c r="BR402" s="95"/>
      <c r="BS402" s="95"/>
      <c r="BT402" s="95"/>
      <c r="BU402" s="95"/>
      <c r="BV402" s="95"/>
      <c r="BW402" s="95"/>
      <c r="BX402" s="95"/>
      <c r="BY402" s="95"/>
      <c r="BZ402" s="95"/>
      <c r="CA402" s="95"/>
      <c r="CB402" s="95"/>
      <c r="CC402" s="95"/>
      <c r="CD402" s="95"/>
      <c r="CE402" s="95"/>
      <c r="DI402" s="435"/>
    </row>
    <row r="403" spans="1:113" s="433" customFormat="1">
      <c r="A403" s="2291"/>
      <c r="B403" s="2282" t="s">
        <v>1421</v>
      </c>
      <c r="C403" s="2274" t="s">
        <v>839</v>
      </c>
      <c r="D403" s="92" t="s">
        <v>1403</v>
      </c>
      <c r="E403" s="487">
        <v>1</v>
      </c>
      <c r="F403" s="585" t="s">
        <v>35</v>
      </c>
      <c r="G403" s="585" t="s">
        <v>35</v>
      </c>
      <c r="H403" s="683">
        <v>67.89</v>
      </c>
      <c r="I403" s="572" t="s">
        <v>35</v>
      </c>
      <c r="J403" s="571" t="s">
        <v>35</v>
      </c>
      <c r="K403" s="572" t="s">
        <v>35</v>
      </c>
      <c r="L403" s="571" t="s">
        <v>35</v>
      </c>
      <c r="M403" s="572" t="s">
        <v>35</v>
      </c>
      <c r="N403" s="482">
        <v>-49.53</v>
      </c>
      <c r="O403" s="2283">
        <v>2.2200000000000002</v>
      </c>
      <c r="P403" s="2283">
        <v>22.33</v>
      </c>
      <c r="Q403" s="486">
        <f t="shared" si="33"/>
        <v>2.5000000000000001E-2</v>
      </c>
      <c r="R403" s="2285">
        <f>SUMPRODUCT(Q403:Q404,N403:N404)</f>
        <v>-1.2382500000000001</v>
      </c>
      <c r="S403" s="525"/>
      <c r="T403" s="525"/>
      <c r="U403" s="672"/>
      <c r="V403" s="524"/>
      <c r="W403" s="525"/>
      <c r="X403" s="525"/>
      <c r="Y403" s="525"/>
      <c r="Z403" s="525"/>
      <c r="AA403" s="525"/>
      <c r="AB403" s="891"/>
      <c r="AC403" s="525"/>
      <c r="AD403" s="524"/>
      <c r="AE403" s="525"/>
      <c r="AF403" s="757"/>
      <c r="AG403" s="525"/>
      <c r="AH403" s="477"/>
      <c r="AI403" s="477"/>
      <c r="AJ403" s="477"/>
      <c r="AK403" s="477"/>
      <c r="AL403" s="477"/>
      <c r="AM403" s="477"/>
      <c r="AN403" s="477"/>
      <c r="AO403" s="477"/>
      <c r="AP403" s="477"/>
      <c r="AQ403" s="477"/>
      <c r="AR403" s="477"/>
      <c r="AS403" s="477"/>
      <c r="AT403" s="477"/>
      <c r="AU403" s="477"/>
      <c r="AV403" s="477"/>
      <c r="AW403" s="477"/>
      <c r="AX403" s="477"/>
      <c r="AY403" s="477"/>
      <c r="AZ403" s="477"/>
      <c r="BA403" s="477"/>
      <c r="BB403" s="477"/>
      <c r="BC403" s="477"/>
      <c r="BD403" s="477"/>
      <c r="BE403" s="477"/>
      <c r="BF403" s="477"/>
      <c r="BG403" s="477"/>
      <c r="BH403" s="432"/>
      <c r="BI403" s="95"/>
      <c r="BJ403" s="95"/>
      <c r="BK403" s="95"/>
      <c r="BL403" s="95"/>
      <c r="BM403" s="95"/>
      <c r="BN403" s="95"/>
      <c r="BO403" s="95"/>
      <c r="BP403" s="95"/>
      <c r="BQ403" s="95"/>
      <c r="BR403" s="95"/>
      <c r="BS403" s="95"/>
      <c r="BT403" s="95"/>
      <c r="BU403" s="95"/>
      <c r="BV403" s="95"/>
      <c r="BW403" s="95"/>
      <c r="BX403" s="95"/>
      <c r="BY403" s="95"/>
      <c r="BZ403" s="95"/>
      <c r="CA403" s="95"/>
      <c r="CB403" s="95"/>
      <c r="CC403" s="95"/>
      <c r="CD403" s="95"/>
      <c r="CE403" s="95"/>
      <c r="DI403" s="435"/>
    </row>
    <row r="404" spans="1:113" s="433" customFormat="1">
      <c r="A404" s="2291"/>
      <c r="B404" s="2282"/>
      <c r="C404" s="2274"/>
      <c r="D404" s="92" t="s">
        <v>64</v>
      </c>
      <c r="E404" s="487">
        <v>39</v>
      </c>
      <c r="F404" s="585" t="s">
        <v>35</v>
      </c>
      <c r="G404" s="585" t="s">
        <v>35</v>
      </c>
      <c r="H404" s="683">
        <v>110.41</v>
      </c>
      <c r="I404" s="1157">
        <v>59.7</v>
      </c>
      <c r="J404" s="571" t="s">
        <v>35</v>
      </c>
      <c r="K404" s="572" t="s">
        <v>35</v>
      </c>
      <c r="L404" s="571" t="s">
        <v>35</v>
      </c>
      <c r="M404" s="572" t="s">
        <v>35</v>
      </c>
      <c r="N404" s="1203">
        <v>0</v>
      </c>
      <c r="O404" s="2284"/>
      <c r="P404" s="2284"/>
      <c r="Q404" s="486">
        <f t="shared" si="33"/>
        <v>0.97499999999999998</v>
      </c>
      <c r="R404" s="2285"/>
      <c r="S404" s="525"/>
      <c r="T404" s="525"/>
      <c r="U404" s="672"/>
      <c r="V404" s="524"/>
      <c r="W404" s="525"/>
      <c r="X404" s="525"/>
      <c r="Y404" s="525"/>
      <c r="Z404" s="525"/>
      <c r="AA404" s="525"/>
      <c r="AB404" s="891"/>
      <c r="AC404" s="525"/>
      <c r="AD404" s="524"/>
      <c r="AE404" s="525"/>
      <c r="AF404" s="757"/>
      <c r="AG404" s="525"/>
      <c r="AH404" s="477"/>
      <c r="AI404" s="477"/>
      <c r="AJ404" s="477"/>
      <c r="AK404" s="477"/>
      <c r="AL404" s="477"/>
      <c r="AM404" s="477"/>
      <c r="AN404" s="477"/>
      <c r="AO404" s="477"/>
      <c r="AP404" s="477"/>
      <c r="AQ404" s="477"/>
      <c r="AR404" s="477"/>
      <c r="AS404" s="477"/>
      <c r="AT404" s="477"/>
      <c r="AU404" s="477"/>
      <c r="AV404" s="477"/>
      <c r="AW404" s="477"/>
      <c r="AX404" s="477"/>
      <c r="AY404" s="477"/>
      <c r="AZ404" s="477"/>
      <c r="BA404" s="477"/>
      <c r="BB404" s="477"/>
      <c r="BC404" s="477"/>
      <c r="BD404" s="477"/>
      <c r="BE404" s="477"/>
      <c r="BF404" s="477"/>
      <c r="BG404" s="477"/>
      <c r="BH404" s="432"/>
      <c r="BI404" s="95"/>
      <c r="BJ404" s="95"/>
      <c r="BK404" s="95"/>
      <c r="BL404" s="95"/>
      <c r="BM404" s="95"/>
      <c r="BN404" s="95"/>
      <c r="BO404" s="95"/>
      <c r="BP404" s="95"/>
      <c r="BQ404" s="95"/>
      <c r="BR404" s="95"/>
      <c r="BS404" s="95"/>
      <c r="BT404" s="95"/>
      <c r="BU404" s="95"/>
      <c r="BV404" s="95"/>
      <c r="BW404" s="95"/>
      <c r="BX404" s="95"/>
      <c r="BY404" s="95"/>
      <c r="BZ404" s="95"/>
      <c r="CA404" s="95"/>
      <c r="CB404" s="95"/>
      <c r="CC404" s="95"/>
      <c r="CD404" s="95"/>
      <c r="CE404" s="95"/>
      <c r="DI404" s="435"/>
    </row>
    <row r="405" spans="1:113" s="433" customFormat="1">
      <c r="A405" s="2291"/>
      <c r="B405" s="2282" t="s">
        <v>1422</v>
      </c>
      <c r="C405" s="2274" t="s">
        <v>839</v>
      </c>
      <c r="D405" s="92" t="s">
        <v>1403</v>
      </c>
      <c r="E405" s="487">
        <v>3</v>
      </c>
      <c r="F405" s="585" t="s">
        <v>35</v>
      </c>
      <c r="G405" s="585" t="s">
        <v>35</v>
      </c>
      <c r="H405" s="683">
        <v>144.78</v>
      </c>
      <c r="I405" s="1157">
        <v>41.79</v>
      </c>
      <c r="J405" s="571" t="s">
        <v>35</v>
      </c>
      <c r="K405" s="572" t="s">
        <v>35</v>
      </c>
      <c r="L405" s="571" t="s">
        <v>35</v>
      </c>
      <c r="M405" s="572" t="s">
        <v>35</v>
      </c>
      <c r="N405" s="482">
        <v>48.54</v>
      </c>
      <c r="O405" s="2283">
        <v>4.0999999999999996</v>
      </c>
      <c r="P405" s="2283">
        <v>11.83</v>
      </c>
      <c r="Q405" s="486">
        <f t="shared" si="33"/>
        <v>7.4999999999999997E-2</v>
      </c>
      <c r="R405" s="2285">
        <f>SUMPRODUCT(Q405:Q406,N405:N406)</f>
        <v>3.6404999999999998</v>
      </c>
      <c r="S405" s="525"/>
      <c r="T405" s="525"/>
      <c r="U405" s="672"/>
      <c r="V405" s="524"/>
      <c r="W405" s="525"/>
      <c r="X405" s="525"/>
      <c r="Y405" s="525"/>
      <c r="Z405" s="525"/>
      <c r="AA405" s="525"/>
      <c r="AB405" s="891"/>
      <c r="AC405" s="525"/>
      <c r="AD405" s="524"/>
      <c r="AE405" s="525"/>
      <c r="AF405" s="757"/>
      <c r="AG405" s="525"/>
      <c r="AH405" s="477"/>
      <c r="AI405" s="477"/>
      <c r="AJ405" s="477"/>
      <c r="AK405" s="477"/>
      <c r="AL405" s="477"/>
      <c r="AM405" s="477"/>
      <c r="AN405" s="477"/>
      <c r="AO405" s="477"/>
      <c r="AP405" s="477"/>
      <c r="AQ405" s="477"/>
      <c r="AR405" s="477"/>
      <c r="AS405" s="477"/>
      <c r="AT405" s="477"/>
      <c r="AU405" s="477"/>
      <c r="AV405" s="477"/>
      <c r="AW405" s="477"/>
      <c r="AX405" s="477"/>
      <c r="AY405" s="477"/>
      <c r="AZ405" s="477"/>
      <c r="BA405" s="477"/>
      <c r="BB405" s="477"/>
      <c r="BC405" s="477"/>
      <c r="BD405" s="477"/>
      <c r="BE405" s="477"/>
      <c r="BF405" s="477"/>
      <c r="BG405" s="477"/>
      <c r="BH405" s="432"/>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DI405" s="435"/>
    </row>
    <row r="406" spans="1:113" s="542" customFormat="1" ht="9" customHeight="1">
      <c r="A406" s="2291"/>
      <c r="B406" s="2282"/>
      <c r="C406" s="2274"/>
      <c r="D406" s="92" t="s">
        <v>64</v>
      </c>
      <c r="E406" s="487">
        <v>37</v>
      </c>
      <c r="F406" s="585" t="s">
        <v>35</v>
      </c>
      <c r="G406" s="585" t="s">
        <v>35</v>
      </c>
      <c r="H406" s="683">
        <v>106.48</v>
      </c>
      <c r="I406" s="1157">
        <v>60.01</v>
      </c>
      <c r="J406" s="571" t="s">
        <v>35</v>
      </c>
      <c r="K406" s="572" t="s">
        <v>35</v>
      </c>
      <c r="L406" s="571" t="s">
        <v>35</v>
      </c>
      <c r="M406" s="572" t="s">
        <v>35</v>
      </c>
      <c r="N406" s="1203">
        <v>0</v>
      </c>
      <c r="O406" s="2284"/>
      <c r="P406" s="2284"/>
      <c r="Q406" s="486">
        <f t="shared" si="33"/>
        <v>0.92500000000000004</v>
      </c>
      <c r="R406" s="2285"/>
      <c r="S406" s="525"/>
      <c r="T406" s="525"/>
      <c r="U406" s="672"/>
      <c r="V406" s="524"/>
      <c r="W406" s="525"/>
      <c r="X406" s="525"/>
      <c r="Y406" s="525"/>
      <c r="Z406" s="525"/>
      <c r="AA406" s="525"/>
      <c r="AB406" s="891"/>
      <c r="AC406" s="525"/>
      <c r="AD406" s="524"/>
      <c r="AE406" s="525"/>
      <c r="AF406" s="757"/>
      <c r="AG406" s="525"/>
      <c r="AH406" s="477"/>
      <c r="AI406" s="477"/>
      <c r="AJ406" s="477"/>
      <c r="AK406" s="477"/>
      <c r="AL406" s="477"/>
      <c r="AM406" s="477"/>
      <c r="AN406" s="477"/>
      <c r="AO406" s="477"/>
      <c r="AP406" s="477"/>
      <c r="AQ406" s="477"/>
      <c r="AR406" s="477"/>
      <c r="AS406" s="477"/>
      <c r="AT406" s="477"/>
      <c r="AU406" s="477"/>
      <c r="AV406" s="477"/>
      <c r="AW406" s="477"/>
      <c r="AX406" s="477"/>
      <c r="AY406" s="477"/>
      <c r="AZ406" s="477"/>
      <c r="BA406" s="477"/>
      <c r="BB406" s="477"/>
      <c r="BC406" s="477"/>
      <c r="BD406" s="477"/>
      <c r="BE406" s="477"/>
      <c r="BF406" s="477"/>
      <c r="BG406" s="477"/>
      <c r="BH406" s="432"/>
      <c r="DI406" s="543"/>
    </row>
    <row r="407" spans="1:113">
      <c r="A407" s="2291"/>
      <c r="B407" s="2282" t="s">
        <v>1423</v>
      </c>
      <c r="C407" s="2274" t="s">
        <v>839</v>
      </c>
      <c r="D407" s="92" t="s">
        <v>1403</v>
      </c>
      <c r="E407" s="487">
        <v>20</v>
      </c>
      <c r="F407" s="585" t="s">
        <v>35</v>
      </c>
      <c r="G407" s="585" t="s">
        <v>35</v>
      </c>
      <c r="H407" s="683">
        <v>123.37</v>
      </c>
      <c r="I407" s="1157">
        <v>62.27</v>
      </c>
      <c r="J407" s="571" t="s">
        <v>35</v>
      </c>
      <c r="K407" s="572" t="s">
        <v>35</v>
      </c>
      <c r="L407" s="571" t="s">
        <v>35</v>
      </c>
      <c r="M407" s="572" t="s">
        <v>35</v>
      </c>
      <c r="N407" s="482">
        <v>-49.33</v>
      </c>
      <c r="O407" s="2283">
        <v>4.1500000000000004</v>
      </c>
      <c r="P407" s="2283">
        <v>11.88</v>
      </c>
      <c r="Q407" s="486">
        <f t="shared" si="33"/>
        <v>0.5</v>
      </c>
      <c r="R407" s="2285">
        <f>SUMPRODUCT(Q407:Q408,N407:N408)</f>
        <v>-24.664999999999999</v>
      </c>
      <c r="S407" s="525"/>
      <c r="T407" s="525"/>
      <c r="V407" s="524"/>
      <c r="W407" s="525"/>
      <c r="X407" s="525"/>
      <c r="Y407" s="525"/>
      <c r="Z407" s="525"/>
      <c r="AA407" s="525"/>
      <c r="AC407" s="525"/>
      <c r="AD407" s="524"/>
      <c r="AE407" s="525"/>
      <c r="AF407" s="757"/>
      <c r="AG407" s="525"/>
      <c r="AH407" s="477"/>
      <c r="AI407" s="477"/>
      <c r="AJ407" s="477"/>
      <c r="AK407" s="477"/>
      <c r="AL407" s="477"/>
      <c r="AM407" s="477"/>
      <c r="AN407" s="477"/>
      <c r="AO407" s="477"/>
      <c r="AP407" s="477"/>
      <c r="AQ407" s="477"/>
      <c r="AR407" s="477"/>
      <c r="AS407" s="477"/>
      <c r="AT407" s="477"/>
      <c r="AU407" s="477"/>
      <c r="AV407" s="477"/>
      <c r="AW407" s="477"/>
      <c r="AX407" s="477"/>
      <c r="AY407" s="477"/>
      <c r="AZ407" s="477"/>
      <c r="BA407" s="477"/>
      <c r="BB407" s="477"/>
      <c r="BC407" s="477"/>
      <c r="BD407" s="477"/>
      <c r="BE407" s="477"/>
      <c r="BF407" s="477"/>
      <c r="BG407" s="477"/>
    </row>
    <row r="408" spans="1:113">
      <c r="A408" s="2291"/>
      <c r="B408" s="2282"/>
      <c r="C408" s="2274"/>
      <c r="D408" s="92" t="s">
        <v>64</v>
      </c>
      <c r="E408" s="487">
        <v>20</v>
      </c>
      <c r="F408" s="585" t="s">
        <v>35</v>
      </c>
      <c r="G408" s="585" t="s">
        <v>35</v>
      </c>
      <c r="H408" s="683">
        <v>95.34</v>
      </c>
      <c r="I408" s="1157">
        <v>54.13</v>
      </c>
      <c r="J408" s="571" t="s">
        <v>35</v>
      </c>
      <c r="K408" s="572" t="s">
        <v>35</v>
      </c>
      <c r="L408" s="571" t="s">
        <v>35</v>
      </c>
      <c r="M408" s="572" t="s">
        <v>35</v>
      </c>
      <c r="N408" s="1203">
        <v>0</v>
      </c>
      <c r="O408" s="2284"/>
      <c r="P408" s="2284"/>
      <c r="Q408" s="486">
        <f t="shared" si="33"/>
        <v>0.5</v>
      </c>
      <c r="R408" s="2285"/>
      <c r="S408" s="525"/>
      <c r="T408" s="525"/>
      <c r="V408" s="524"/>
      <c r="W408" s="525"/>
      <c r="X408" s="525"/>
      <c r="Y408" s="525"/>
      <c r="Z408" s="525"/>
      <c r="AA408" s="525"/>
      <c r="AC408" s="525"/>
      <c r="AD408" s="524"/>
      <c r="AE408" s="525"/>
      <c r="AF408" s="757"/>
      <c r="AG408" s="525"/>
      <c r="AH408" s="477"/>
      <c r="AI408" s="477"/>
      <c r="AJ408" s="477"/>
      <c r="AK408" s="477"/>
      <c r="AL408" s="477"/>
      <c r="AM408" s="477"/>
      <c r="AN408" s="477"/>
      <c r="AO408" s="477"/>
      <c r="AP408" s="477"/>
      <c r="AQ408" s="477"/>
      <c r="AR408" s="477"/>
      <c r="AS408" s="477"/>
      <c r="AT408" s="477"/>
      <c r="AU408" s="477"/>
      <c r="AV408" s="477"/>
      <c r="AW408" s="477"/>
      <c r="AX408" s="477"/>
      <c r="AY408" s="477"/>
      <c r="AZ408" s="477"/>
      <c r="BA408" s="477"/>
      <c r="BB408" s="477"/>
      <c r="BC408" s="477"/>
      <c r="BD408" s="477"/>
      <c r="BE408" s="477"/>
      <c r="BF408" s="477"/>
      <c r="BG408" s="477"/>
    </row>
    <row r="409" spans="1:113">
      <c r="A409" s="2291"/>
      <c r="B409" s="2282" t="s">
        <v>1424</v>
      </c>
      <c r="C409" s="2274" t="s">
        <v>839</v>
      </c>
      <c r="D409" s="92" t="s">
        <v>1403</v>
      </c>
      <c r="E409" s="487">
        <v>12</v>
      </c>
      <c r="F409" s="585" t="s">
        <v>35</v>
      </c>
      <c r="G409" s="585" t="s">
        <v>35</v>
      </c>
      <c r="H409" s="683">
        <v>88.56</v>
      </c>
      <c r="I409" s="1157">
        <v>55.65</v>
      </c>
      <c r="J409" s="571" t="s">
        <v>35</v>
      </c>
      <c r="K409" s="572" t="s">
        <v>35</v>
      </c>
      <c r="L409" s="571" t="s">
        <v>35</v>
      </c>
      <c r="M409" s="572" t="s">
        <v>35</v>
      </c>
      <c r="N409" s="482">
        <v>-34.270000000000003</v>
      </c>
      <c r="O409" s="2283">
        <v>3</v>
      </c>
      <c r="P409" s="2283">
        <v>11.42</v>
      </c>
      <c r="Q409" s="486">
        <f t="shared" si="33"/>
        <v>0.3</v>
      </c>
      <c r="R409" s="2285">
        <f>SUMPRODUCT(Q409:Q410,N409:N410)</f>
        <v>-10.281000000000001</v>
      </c>
      <c r="S409" s="525"/>
      <c r="T409" s="525"/>
      <c r="V409" s="524"/>
      <c r="W409" s="525"/>
      <c r="X409" s="525"/>
      <c r="Y409" s="525"/>
      <c r="Z409" s="525"/>
      <c r="AA409" s="525"/>
      <c r="AC409" s="525"/>
      <c r="AD409" s="524"/>
      <c r="AE409" s="525"/>
      <c r="AF409" s="757"/>
      <c r="AG409" s="525"/>
      <c r="AH409" s="477"/>
      <c r="AI409" s="477"/>
      <c r="AJ409" s="477"/>
      <c r="AK409" s="477"/>
      <c r="AL409" s="477"/>
      <c r="AM409" s="477"/>
      <c r="AN409" s="477"/>
      <c r="AO409" s="477"/>
      <c r="AP409" s="477"/>
      <c r="AQ409" s="477"/>
      <c r="AR409" s="477"/>
      <c r="AS409" s="477"/>
      <c r="AT409" s="477"/>
      <c r="AU409" s="477"/>
      <c r="AV409" s="477"/>
      <c r="AW409" s="477"/>
      <c r="AX409" s="477"/>
      <c r="AY409" s="477"/>
      <c r="AZ409" s="477"/>
      <c r="BA409" s="477"/>
      <c r="BB409" s="477"/>
      <c r="BC409" s="477"/>
      <c r="BD409" s="477"/>
      <c r="BE409" s="477"/>
      <c r="BF409" s="477"/>
      <c r="BG409" s="477"/>
    </row>
    <row r="410" spans="1:113">
      <c r="A410" s="2291"/>
      <c r="B410" s="2282"/>
      <c r="C410" s="2274"/>
      <c r="D410" s="92" t="s">
        <v>64</v>
      </c>
      <c r="E410" s="487">
        <v>28</v>
      </c>
      <c r="F410" s="585" t="s">
        <v>35</v>
      </c>
      <c r="G410" s="585" t="s">
        <v>35</v>
      </c>
      <c r="H410" s="683">
        <v>118.26</v>
      </c>
      <c r="I410" s="1157">
        <v>59.54</v>
      </c>
      <c r="J410" s="571" t="s">
        <v>35</v>
      </c>
      <c r="K410" s="572" t="s">
        <v>35</v>
      </c>
      <c r="L410" s="571" t="s">
        <v>35</v>
      </c>
      <c r="M410" s="572" t="s">
        <v>35</v>
      </c>
      <c r="N410" s="1203">
        <v>0</v>
      </c>
      <c r="O410" s="2284"/>
      <c r="P410" s="2284"/>
      <c r="Q410" s="486">
        <f t="shared" si="33"/>
        <v>0.7</v>
      </c>
      <c r="R410" s="2285"/>
      <c r="S410" s="525"/>
      <c r="T410" s="525"/>
      <c r="V410" s="524"/>
      <c r="W410" s="525"/>
      <c r="X410" s="525"/>
      <c r="Y410" s="525"/>
      <c r="Z410" s="525"/>
      <c r="AA410" s="525"/>
      <c r="AC410" s="525"/>
      <c r="AD410" s="524"/>
      <c r="AE410" s="525"/>
      <c r="AF410" s="757"/>
      <c r="AG410" s="525"/>
      <c r="AH410" s="477"/>
      <c r="AI410" s="477"/>
      <c r="AJ410" s="477"/>
      <c r="AK410" s="477"/>
      <c r="AL410" s="477"/>
      <c r="AM410" s="477"/>
      <c r="AN410" s="477"/>
      <c r="AO410" s="477"/>
      <c r="AP410" s="477"/>
      <c r="AQ410" s="477"/>
      <c r="AR410" s="477"/>
      <c r="AS410" s="477"/>
      <c r="AT410" s="477"/>
      <c r="AU410" s="477"/>
      <c r="AV410" s="477"/>
      <c r="AW410" s="477"/>
      <c r="AX410" s="477"/>
      <c r="AY410" s="477"/>
      <c r="AZ410" s="477"/>
      <c r="BA410" s="477"/>
      <c r="BB410" s="477"/>
      <c r="BC410" s="477"/>
      <c r="BD410" s="477"/>
      <c r="BE410" s="477"/>
      <c r="BF410" s="477"/>
      <c r="BG410" s="477"/>
    </row>
    <row r="411" spans="1:113">
      <c r="A411" s="2291"/>
      <c r="B411" s="2282" t="s">
        <v>1425</v>
      </c>
      <c r="C411" s="2274" t="s">
        <v>839</v>
      </c>
      <c r="D411" s="92" t="s">
        <v>1403</v>
      </c>
      <c r="E411" s="487">
        <v>11</v>
      </c>
      <c r="F411" s="585" t="s">
        <v>35</v>
      </c>
      <c r="G411" s="585" t="s">
        <v>35</v>
      </c>
      <c r="H411" s="683">
        <v>86.1</v>
      </c>
      <c r="I411" s="1157">
        <v>57.68</v>
      </c>
      <c r="J411" s="571" t="s">
        <v>35</v>
      </c>
      <c r="K411" s="572" t="s">
        <v>35</v>
      </c>
      <c r="L411" s="571" t="s">
        <v>35</v>
      </c>
      <c r="M411" s="572" t="s">
        <v>35</v>
      </c>
      <c r="N411" s="482">
        <v>-29.37</v>
      </c>
      <c r="O411" s="2283">
        <v>2.56</v>
      </c>
      <c r="P411" s="2283">
        <v>11.46</v>
      </c>
      <c r="Q411" s="486">
        <f t="shared" si="33"/>
        <v>0.27500000000000002</v>
      </c>
      <c r="R411" s="2285">
        <f>SUMPRODUCT(Q411:Q412,N411:N412)</f>
        <v>-8.0767500000000005</v>
      </c>
      <c r="S411" s="525"/>
      <c r="T411" s="525"/>
      <c r="V411" s="524"/>
      <c r="W411" s="525"/>
      <c r="X411" s="525"/>
      <c r="Y411" s="525"/>
      <c r="Z411" s="525"/>
      <c r="AA411" s="525"/>
      <c r="AC411" s="525"/>
      <c r="AD411" s="524"/>
      <c r="AE411" s="525"/>
      <c r="AF411" s="757"/>
      <c r="AG411" s="525"/>
      <c r="AH411" s="477"/>
      <c r="AI411" s="477"/>
      <c r="AJ411" s="477"/>
      <c r="AK411" s="477"/>
      <c r="AL411" s="477"/>
      <c r="AM411" s="477"/>
      <c r="AN411" s="477"/>
      <c r="AO411" s="477"/>
      <c r="AP411" s="477"/>
      <c r="AQ411" s="477"/>
      <c r="AR411" s="477"/>
      <c r="AS411" s="477"/>
      <c r="AT411" s="477"/>
      <c r="AU411" s="477"/>
      <c r="AV411" s="477"/>
      <c r="AW411" s="477"/>
      <c r="AX411" s="477"/>
      <c r="AY411" s="477"/>
      <c r="AZ411" s="477"/>
      <c r="BA411" s="477"/>
      <c r="BB411" s="477"/>
      <c r="BC411" s="477"/>
      <c r="BD411" s="477"/>
      <c r="BE411" s="477"/>
      <c r="BF411" s="477"/>
      <c r="BG411" s="477"/>
    </row>
    <row r="412" spans="1:113" ht="15" thickBot="1">
      <c r="A412" s="2291"/>
      <c r="B412" s="2286"/>
      <c r="C412" s="2287"/>
      <c r="D412" s="745" t="s">
        <v>64</v>
      </c>
      <c r="E412" s="509">
        <v>29</v>
      </c>
      <c r="F412" s="646" t="s">
        <v>35</v>
      </c>
      <c r="G412" s="646" t="s">
        <v>35</v>
      </c>
      <c r="H412" s="937">
        <v>118.17</v>
      </c>
      <c r="I412" s="1188">
        <v>58.47</v>
      </c>
      <c r="J412" s="649" t="s">
        <v>35</v>
      </c>
      <c r="K412" s="650" t="s">
        <v>35</v>
      </c>
      <c r="L412" s="649" t="s">
        <v>35</v>
      </c>
      <c r="M412" s="650" t="s">
        <v>35</v>
      </c>
      <c r="N412" s="1204">
        <v>0</v>
      </c>
      <c r="O412" s="2288"/>
      <c r="P412" s="2288"/>
      <c r="Q412" s="1042">
        <f t="shared" si="33"/>
        <v>0.72499999999999998</v>
      </c>
      <c r="R412" s="2289"/>
      <c r="S412" s="525"/>
      <c r="T412" s="525"/>
      <c r="V412" s="524"/>
      <c r="W412" s="525"/>
      <c r="X412" s="525"/>
      <c r="Y412" s="525"/>
      <c r="Z412" s="525"/>
      <c r="AA412" s="525"/>
      <c r="AC412" s="525"/>
      <c r="AD412" s="524"/>
      <c r="AE412" s="525"/>
      <c r="AF412" s="757"/>
      <c r="AG412" s="525"/>
      <c r="AH412" s="477"/>
      <c r="AI412" s="477"/>
      <c r="AJ412" s="477"/>
      <c r="AK412" s="477"/>
      <c r="AL412" s="477"/>
      <c r="AM412" s="477"/>
      <c r="AN412" s="477"/>
      <c r="AO412" s="477"/>
      <c r="AP412" s="477"/>
      <c r="AQ412" s="477"/>
      <c r="AR412" s="477"/>
      <c r="AS412" s="477"/>
      <c r="AT412" s="477"/>
      <c r="AU412" s="477"/>
      <c r="AV412" s="477"/>
      <c r="AW412" s="477"/>
      <c r="AX412" s="477"/>
      <c r="AY412" s="477"/>
      <c r="AZ412" s="477"/>
      <c r="BA412" s="477"/>
      <c r="BB412" s="477"/>
      <c r="BC412" s="477"/>
      <c r="BD412" s="477"/>
      <c r="BE412" s="477"/>
      <c r="BF412" s="477"/>
      <c r="BG412" s="477"/>
    </row>
    <row r="413" spans="1:113">
      <c r="A413" s="2291"/>
      <c r="B413" s="2279" t="s">
        <v>1402</v>
      </c>
      <c r="C413" s="1189"/>
      <c r="D413" s="521"/>
      <c r="E413" s="522"/>
      <c r="F413" s="522"/>
      <c r="G413" s="522"/>
      <c r="H413" s="866"/>
      <c r="I413" s="866"/>
      <c r="J413" s="522"/>
      <c r="K413" s="522"/>
      <c r="L413" s="522"/>
      <c r="M413" s="522"/>
      <c r="N413" s="1205"/>
      <c r="O413" s="1206"/>
      <c r="P413" s="1206"/>
      <c r="Q413" s="753"/>
      <c r="R413" s="1183"/>
      <c r="S413" s="525"/>
      <c r="T413" s="525"/>
      <c r="V413" s="524"/>
      <c r="W413" s="525"/>
      <c r="X413" s="525"/>
      <c r="Y413" s="525"/>
      <c r="Z413" s="525"/>
      <c r="AA413" s="525"/>
      <c r="AC413" s="525"/>
      <c r="AD413" s="524"/>
      <c r="AE413" s="525"/>
      <c r="AF413" s="757"/>
      <c r="AG413" s="525"/>
      <c r="AH413" s="477"/>
      <c r="AI413" s="477"/>
      <c r="AJ413" s="477"/>
      <c r="AK413" s="477"/>
      <c r="AL413" s="477"/>
      <c r="AM413" s="477"/>
      <c r="AN413" s="477"/>
      <c r="AO413" s="477"/>
      <c r="AP413" s="477"/>
      <c r="AQ413" s="477"/>
      <c r="AR413" s="477"/>
      <c r="AS413" s="477"/>
      <c r="AT413" s="477"/>
      <c r="AU413" s="477"/>
      <c r="AV413" s="477"/>
      <c r="AW413" s="477"/>
      <c r="AX413" s="477"/>
      <c r="AY413" s="477"/>
      <c r="AZ413" s="477"/>
      <c r="BA413" s="477"/>
      <c r="BB413" s="477"/>
      <c r="BC413" s="477"/>
      <c r="BD413" s="477"/>
      <c r="BE413" s="477"/>
      <c r="BF413" s="477"/>
      <c r="BG413" s="477"/>
    </row>
    <row r="414" spans="1:113">
      <c r="A414" s="2291"/>
      <c r="B414" s="2280"/>
      <c r="C414" s="864"/>
      <c r="D414" s="525"/>
      <c r="E414" s="515"/>
      <c r="F414" s="515"/>
      <c r="G414" s="515"/>
      <c r="H414" s="949"/>
      <c r="I414" s="949"/>
      <c r="J414" s="515"/>
      <c r="K414" s="515"/>
      <c r="L414" s="515"/>
      <c r="M414" s="515"/>
      <c r="N414" s="1207"/>
      <c r="O414" s="1208"/>
      <c r="P414" s="1208"/>
      <c r="Q414" s="605"/>
      <c r="R414" s="859"/>
      <c r="S414" s="525"/>
      <c r="T414" s="525"/>
      <c r="V414" s="524"/>
      <c r="W414" s="525"/>
      <c r="X414" s="525"/>
      <c r="Y414" s="525"/>
      <c r="Z414" s="525"/>
      <c r="AA414" s="525"/>
      <c r="AC414" s="525"/>
      <c r="AD414" s="524"/>
      <c r="AE414" s="525"/>
      <c r="AF414" s="757"/>
      <c r="AG414" s="525"/>
      <c r="AH414" s="477"/>
      <c r="AI414" s="477"/>
      <c r="AJ414" s="477"/>
      <c r="AK414" s="477"/>
      <c r="AL414" s="477"/>
      <c r="AM414" s="477"/>
      <c r="AN414" s="477"/>
      <c r="AO414" s="477"/>
      <c r="AP414" s="477"/>
      <c r="AQ414" s="477"/>
      <c r="AR414" s="477"/>
      <c r="AS414" s="477"/>
      <c r="AT414" s="477"/>
      <c r="AU414" s="477"/>
      <c r="AV414" s="477"/>
      <c r="AW414" s="477"/>
      <c r="AX414" s="477"/>
      <c r="AY414" s="477"/>
      <c r="AZ414" s="477"/>
      <c r="BA414" s="477"/>
      <c r="BB414" s="477"/>
      <c r="BC414" s="477"/>
      <c r="BD414" s="477"/>
      <c r="BE414" s="477"/>
      <c r="BF414" s="477"/>
      <c r="BG414" s="477"/>
    </row>
    <row r="415" spans="1:113">
      <c r="A415" s="2291"/>
      <c r="B415" s="2280"/>
      <c r="C415" s="864"/>
      <c r="D415" s="525"/>
      <c r="E415" s="515"/>
      <c r="F415" s="515"/>
      <c r="G415" s="515"/>
      <c r="H415" s="949"/>
      <c r="I415" s="949"/>
      <c r="J415" s="515"/>
      <c r="K415" s="515"/>
      <c r="L415" s="515"/>
      <c r="M415" s="515"/>
      <c r="N415" s="1207"/>
      <c r="O415" s="1208"/>
      <c r="P415" s="1208"/>
      <c r="Q415" s="605"/>
      <c r="R415" s="859"/>
      <c r="S415" s="525"/>
      <c r="T415" s="525"/>
      <c r="V415" s="524"/>
      <c r="W415" s="525"/>
      <c r="X415" s="525"/>
      <c r="Y415" s="525"/>
      <c r="Z415" s="525"/>
      <c r="AA415" s="525"/>
      <c r="AC415" s="525"/>
      <c r="AD415" s="524"/>
      <c r="AE415" s="525"/>
      <c r="AF415" s="757"/>
      <c r="AG415" s="525"/>
      <c r="AH415" s="477"/>
      <c r="AI415" s="477"/>
      <c r="AJ415" s="477"/>
      <c r="AK415" s="477"/>
      <c r="AL415" s="477"/>
      <c r="AM415" s="477"/>
      <c r="AN415" s="477"/>
      <c r="AO415" s="477"/>
      <c r="AP415" s="477"/>
      <c r="AQ415" s="477"/>
      <c r="AR415" s="477"/>
      <c r="AS415" s="477"/>
      <c r="AT415" s="477"/>
      <c r="AU415" s="477"/>
      <c r="AV415" s="477"/>
      <c r="AW415" s="477"/>
      <c r="AX415" s="477"/>
      <c r="AY415" s="477"/>
      <c r="AZ415" s="477"/>
      <c r="BA415" s="477"/>
      <c r="BB415" s="477"/>
      <c r="BC415" s="477"/>
      <c r="BD415" s="477"/>
      <c r="BE415" s="477"/>
      <c r="BF415" s="477"/>
      <c r="BG415" s="477"/>
    </row>
    <row r="416" spans="1:113" ht="15" thickBot="1">
      <c r="A416" s="2292"/>
      <c r="B416" s="2281"/>
      <c r="C416" s="869"/>
      <c r="D416" s="676"/>
      <c r="E416" s="616"/>
      <c r="F416" s="616"/>
      <c r="G416" s="616"/>
      <c r="H416" s="871"/>
      <c r="I416" s="871"/>
      <c r="J416" s="616"/>
      <c r="K416" s="616"/>
      <c r="L416" s="616"/>
      <c r="M416" s="616"/>
      <c r="N416" s="1209"/>
      <c r="O416" s="1210"/>
      <c r="P416" s="1210"/>
      <c r="Q416" s="1034"/>
      <c r="R416" s="1184"/>
      <c r="S416" s="525"/>
      <c r="T416" s="525"/>
      <c r="V416" s="524"/>
      <c r="W416" s="525"/>
      <c r="X416" s="525"/>
      <c r="Y416" s="525"/>
      <c r="Z416" s="525"/>
      <c r="AA416" s="525"/>
      <c r="AC416" s="525"/>
      <c r="AD416" s="675"/>
      <c r="AE416" s="525"/>
      <c r="AF416" s="757"/>
      <c r="AG416" s="525"/>
      <c r="AH416" s="477"/>
      <c r="AI416" s="477"/>
      <c r="AJ416" s="477"/>
      <c r="AK416" s="477"/>
      <c r="AL416" s="477"/>
      <c r="AM416" s="477"/>
      <c r="AN416" s="477"/>
      <c r="AO416" s="477"/>
      <c r="AP416" s="477"/>
      <c r="AQ416" s="477"/>
      <c r="AR416" s="477"/>
      <c r="AS416" s="477"/>
      <c r="AT416" s="477"/>
      <c r="AU416" s="477"/>
      <c r="AV416" s="477"/>
      <c r="AW416" s="477"/>
      <c r="AX416" s="477"/>
      <c r="AY416" s="477"/>
      <c r="AZ416" s="477"/>
      <c r="BA416" s="477"/>
      <c r="BB416" s="477"/>
      <c r="BC416" s="477"/>
      <c r="BD416" s="477"/>
      <c r="BE416" s="477"/>
      <c r="BF416" s="477"/>
      <c r="BG416" s="477"/>
    </row>
    <row r="417" spans="1:59" ht="18.600000000000001" thickBot="1">
      <c r="A417" s="540"/>
      <c r="B417" s="541"/>
      <c r="C417" s="444"/>
      <c r="D417" s="445"/>
      <c r="E417" s="873"/>
      <c r="F417" s="873"/>
      <c r="G417" s="873"/>
      <c r="H417" s="875"/>
      <c r="I417" s="875"/>
      <c r="J417" s="446"/>
      <c r="K417" s="445"/>
      <c r="L417" s="446"/>
      <c r="M417" s="447"/>
      <c r="N417" s="448"/>
      <c r="O417" s="449"/>
      <c r="P417" s="449"/>
      <c r="Q417" s="450"/>
      <c r="R417" s="450"/>
      <c r="S417" s="451"/>
      <c r="T417" s="451"/>
      <c r="U417" s="452"/>
      <c r="V417" s="453"/>
      <c r="W417" s="447"/>
      <c r="X417" s="447"/>
      <c r="Y417" s="876"/>
      <c r="Z417" s="876"/>
      <c r="AA417" s="876"/>
      <c r="AB417" s="877"/>
      <c r="AC417" s="878"/>
      <c r="AD417" s="878"/>
      <c r="AE417" s="878"/>
      <c r="AF417" s="879"/>
      <c r="AG417" s="878"/>
      <c r="AH417" s="456"/>
      <c r="AI417" s="653"/>
      <c r="AJ417" s="653"/>
      <c r="AK417" s="456"/>
      <c r="AL417" s="456"/>
      <c r="AM417" s="456"/>
      <c r="AN417" s="456"/>
      <c r="AO417" s="456"/>
      <c r="AP417" s="456"/>
      <c r="AQ417" s="456"/>
      <c r="AR417" s="456"/>
      <c r="AS417" s="456"/>
      <c r="AT417" s="456"/>
      <c r="AU417" s="456"/>
      <c r="AV417" s="456"/>
      <c r="AW417" s="456"/>
      <c r="AX417" s="456"/>
      <c r="AY417" s="456"/>
      <c r="AZ417" s="456"/>
      <c r="BA417" s="456"/>
      <c r="BB417" s="456"/>
      <c r="BC417" s="456"/>
      <c r="BD417" s="456"/>
      <c r="BE417" s="456"/>
      <c r="BF417" s="456"/>
      <c r="BG417" s="456"/>
    </row>
  </sheetData>
  <mergeCells count="457">
    <mergeCell ref="K2:K3"/>
    <mergeCell ref="L2:L3"/>
    <mergeCell ref="M2:M3"/>
    <mergeCell ref="N2:N3"/>
    <mergeCell ref="AM1:AV1"/>
    <mergeCell ref="AW1:BF1"/>
    <mergeCell ref="A2:A3"/>
    <mergeCell ref="B2:B3"/>
    <mergeCell ref="C2:C3"/>
    <mergeCell ref="D2:D3"/>
    <mergeCell ref="E2:E3"/>
    <mergeCell ref="F2:F3"/>
    <mergeCell ref="G2:G3"/>
    <mergeCell ref="H2:H3"/>
    <mergeCell ref="B1:I1"/>
    <mergeCell ref="J1:K1"/>
    <mergeCell ref="L1:M1"/>
    <mergeCell ref="N1:T1"/>
    <mergeCell ref="V1:AA1"/>
    <mergeCell ref="AC1:AL1"/>
    <mergeCell ref="AF2:AL2"/>
    <mergeCell ref="AM2:AS2"/>
    <mergeCell ref="AT2:AZ2"/>
    <mergeCell ref="BA2:BG2"/>
    <mergeCell ref="A5:A26"/>
    <mergeCell ref="B5:B6"/>
    <mergeCell ref="C5:C6"/>
    <mergeCell ref="J5:J6"/>
    <mergeCell ref="L5:L6"/>
    <mergeCell ref="V5:V22"/>
    <mergeCell ref="W2:W3"/>
    <mergeCell ref="X2:X3"/>
    <mergeCell ref="Y2:Y3"/>
    <mergeCell ref="I2:I3"/>
    <mergeCell ref="J2:J3"/>
    <mergeCell ref="B16:B21"/>
    <mergeCell ref="C16:C21"/>
    <mergeCell ref="J16:J21"/>
    <mergeCell ref="K16:K21"/>
    <mergeCell ref="L16:L21"/>
    <mergeCell ref="M16:M21"/>
    <mergeCell ref="R16:R21"/>
    <mergeCell ref="B22:B23"/>
    <mergeCell ref="C22:C23"/>
    <mergeCell ref="J22:J23"/>
    <mergeCell ref="L22:L23"/>
    <mergeCell ref="B25:B26"/>
    <mergeCell ref="C25:C26"/>
    <mergeCell ref="Z2:Z3"/>
    <mergeCell ref="AA2:AA3"/>
    <mergeCell ref="AC2:AE3"/>
    <mergeCell ref="O2:O3"/>
    <mergeCell ref="P2:P3"/>
    <mergeCell ref="Q2:Q3"/>
    <mergeCell ref="R2:R3"/>
    <mergeCell ref="S2:T3"/>
    <mergeCell ref="V2:V3"/>
    <mergeCell ref="Z5:Z6"/>
    <mergeCell ref="AA5:AA6"/>
    <mergeCell ref="AD5:AE5"/>
    <mergeCell ref="Z7:Z8"/>
    <mergeCell ref="AA7:AA8"/>
    <mergeCell ref="B8:B11"/>
    <mergeCell ref="C8:C11"/>
    <mergeCell ref="J8:J11"/>
    <mergeCell ref="L8:L11"/>
    <mergeCell ref="Z9:Z10"/>
    <mergeCell ref="AA9:AA10"/>
    <mergeCell ref="Z11:Z12"/>
    <mergeCell ref="AA11:AA12"/>
    <mergeCell ref="B12:B15"/>
    <mergeCell ref="C12:C15"/>
    <mergeCell ref="J12:J15"/>
    <mergeCell ref="K12:K15"/>
    <mergeCell ref="L12:L15"/>
    <mergeCell ref="M12:M15"/>
    <mergeCell ref="R12:R15"/>
    <mergeCell ref="Z17:Z18"/>
    <mergeCell ref="AA17:AA18"/>
    <mergeCell ref="Z19:Z20"/>
    <mergeCell ref="AA19:AA20"/>
    <mergeCell ref="Z21:Z22"/>
    <mergeCell ref="AA21:AA22"/>
    <mergeCell ref="Z13:Z14"/>
    <mergeCell ref="AA13:AA14"/>
    <mergeCell ref="Z15:Z16"/>
    <mergeCell ref="AA15:AA16"/>
    <mergeCell ref="D25:D26"/>
    <mergeCell ref="J25:J26"/>
    <mergeCell ref="K25:K26"/>
    <mergeCell ref="L25:L26"/>
    <mergeCell ref="V28:V35"/>
    <mergeCell ref="AD28:AE28"/>
    <mergeCell ref="B30:B32"/>
    <mergeCell ref="C30:C32"/>
    <mergeCell ref="R30:R32"/>
    <mergeCell ref="B33:B36"/>
    <mergeCell ref="C33:C36"/>
    <mergeCell ref="R33:R36"/>
    <mergeCell ref="B37:B38"/>
    <mergeCell ref="C37:C38"/>
    <mergeCell ref="R37:R38"/>
    <mergeCell ref="B39:B47"/>
    <mergeCell ref="C39:C47"/>
    <mergeCell ref="R39:R47"/>
    <mergeCell ref="B48:B54"/>
    <mergeCell ref="C48:C54"/>
    <mergeCell ref="R48:R54"/>
    <mergeCell ref="A28:A54"/>
    <mergeCell ref="A56:A94"/>
    <mergeCell ref="V56:V63"/>
    <mergeCell ref="AD56:AE56"/>
    <mergeCell ref="B58:B59"/>
    <mergeCell ref="C58:C59"/>
    <mergeCell ref="R58:R59"/>
    <mergeCell ref="B60:B64"/>
    <mergeCell ref="C60:C64"/>
    <mergeCell ref="R60:R64"/>
    <mergeCell ref="B65:B68"/>
    <mergeCell ref="B82:B90"/>
    <mergeCell ref="C82:C90"/>
    <mergeCell ref="R82:R90"/>
    <mergeCell ref="B91:B94"/>
    <mergeCell ref="C91:C94"/>
    <mergeCell ref="R91:R94"/>
    <mergeCell ref="C65:C68"/>
    <mergeCell ref="R65:R68"/>
    <mergeCell ref="B69:B78"/>
    <mergeCell ref="C69:C78"/>
    <mergeCell ref="R69:R78"/>
    <mergeCell ref="B79:B81"/>
    <mergeCell ref="C79:C81"/>
    <mergeCell ref="R79:R81"/>
    <mergeCell ref="AD96:AE96"/>
    <mergeCell ref="Z98:Z99"/>
    <mergeCell ref="AA98:AA99"/>
    <mergeCell ref="Z102:Z103"/>
    <mergeCell ref="AA102:AA103"/>
    <mergeCell ref="Z104:Z105"/>
    <mergeCell ref="AA104:AA105"/>
    <mergeCell ref="A96:A111"/>
    <mergeCell ref="B96:B97"/>
    <mergeCell ref="C96:C97"/>
    <mergeCell ref="J96:J97"/>
    <mergeCell ref="K96:K97"/>
    <mergeCell ref="L96:L97"/>
    <mergeCell ref="B99:B101"/>
    <mergeCell ref="C99:C101"/>
    <mergeCell ref="J99:J101"/>
    <mergeCell ref="L99:L101"/>
    <mergeCell ref="R99:R101"/>
    <mergeCell ref="Z100:Z101"/>
    <mergeCell ref="AA100:AA101"/>
    <mergeCell ref="B102:B105"/>
    <mergeCell ref="C102:C105"/>
    <mergeCell ref="J102:J105"/>
    <mergeCell ref="L102:L105"/>
    <mergeCell ref="R102:R105"/>
    <mergeCell ref="V96:V105"/>
    <mergeCell ref="Z96:Z97"/>
    <mergeCell ref="AA96:AA97"/>
    <mergeCell ref="B106:B108"/>
    <mergeCell ref="C106:C108"/>
    <mergeCell ref="J106:J108"/>
    <mergeCell ref="L106:L108"/>
    <mergeCell ref="R106:R108"/>
    <mergeCell ref="B110:B111"/>
    <mergeCell ref="C110:C111"/>
    <mergeCell ref="D110:D111"/>
    <mergeCell ref="J110:J111"/>
    <mergeCell ref="K110:K111"/>
    <mergeCell ref="AD124:AE124"/>
    <mergeCell ref="B126:B127"/>
    <mergeCell ref="C126:C127"/>
    <mergeCell ref="J126:J127"/>
    <mergeCell ref="K126:K127"/>
    <mergeCell ref="R126:R127"/>
    <mergeCell ref="L110:L111"/>
    <mergeCell ref="A113:A122"/>
    <mergeCell ref="V113:V118"/>
    <mergeCell ref="AD113:AE113"/>
    <mergeCell ref="B115:B116"/>
    <mergeCell ref="C115:C116"/>
    <mergeCell ref="R115:R116"/>
    <mergeCell ref="B117:B122"/>
    <mergeCell ref="Z126:Z127"/>
    <mergeCell ref="AA126:AA127"/>
    <mergeCell ref="A124:A133"/>
    <mergeCell ref="AD174:AE174"/>
    <mergeCell ref="B128:B131"/>
    <mergeCell ref="C128:C131"/>
    <mergeCell ref="R128:R131"/>
    <mergeCell ref="Z128:Z129"/>
    <mergeCell ref="AA128:AA129"/>
    <mergeCell ref="Z130:Z131"/>
    <mergeCell ref="AA130:AA131"/>
    <mergeCell ref="V124:V133"/>
    <mergeCell ref="Z124:Z125"/>
    <mergeCell ref="AA124:AA125"/>
    <mergeCell ref="B132:B134"/>
    <mergeCell ref="Z132:Z133"/>
    <mergeCell ref="AA132:AA133"/>
    <mergeCell ref="A155:A172"/>
    <mergeCell ref="V155:V170"/>
    <mergeCell ref="B157:B159"/>
    <mergeCell ref="C157:C159"/>
    <mergeCell ref="R157:R159"/>
    <mergeCell ref="B163:B172"/>
    <mergeCell ref="C180:C183"/>
    <mergeCell ref="R180:R183"/>
    <mergeCell ref="A136:A152"/>
    <mergeCell ref="V136:V152"/>
    <mergeCell ref="B138:B141"/>
    <mergeCell ref="C138:C141"/>
    <mergeCell ref="R138:R141"/>
    <mergeCell ref="B144:B153"/>
    <mergeCell ref="V174:V175"/>
    <mergeCell ref="B184:B187"/>
    <mergeCell ref="C184:C187"/>
    <mergeCell ref="R184:R187"/>
    <mergeCell ref="A189:A198"/>
    <mergeCell ref="B197:B198"/>
    <mergeCell ref="A174:A187"/>
    <mergeCell ref="B174:B176"/>
    <mergeCell ref="C174:C176"/>
    <mergeCell ref="L174:L176"/>
    <mergeCell ref="B178:B179"/>
    <mergeCell ref="C178:C179"/>
    <mergeCell ref="R178:R179"/>
    <mergeCell ref="B180:B183"/>
    <mergeCell ref="V189:V196"/>
    <mergeCell ref="AD189:AE189"/>
    <mergeCell ref="B190:B191"/>
    <mergeCell ref="C190:C191"/>
    <mergeCell ref="R190:R191"/>
    <mergeCell ref="B192:B193"/>
    <mergeCell ref="C192:C193"/>
    <mergeCell ref="B194:B196"/>
    <mergeCell ref="C194:C196"/>
    <mergeCell ref="B208:B209"/>
    <mergeCell ref="C208:C209"/>
    <mergeCell ref="A200:A209"/>
    <mergeCell ref="V200:V204"/>
    <mergeCell ref="AD200:AE200"/>
    <mergeCell ref="B201:B202"/>
    <mergeCell ref="C201:C202"/>
    <mergeCell ref="R201:R202"/>
    <mergeCell ref="B203:B204"/>
    <mergeCell ref="C203:C204"/>
    <mergeCell ref="B205:B207"/>
    <mergeCell ref="C205:C207"/>
    <mergeCell ref="Z211:Z212"/>
    <mergeCell ref="AA211:AA212"/>
    <mergeCell ref="B213:B214"/>
    <mergeCell ref="C213:C214"/>
    <mergeCell ref="R213:R214"/>
    <mergeCell ref="Z213:Z214"/>
    <mergeCell ref="AA213:AA214"/>
    <mergeCell ref="B215:B216"/>
    <mergeCell ref="C215:C216"/>
    <mergeCell ref="R215:R216"/>
    <mergeCell ref="B217:B219"/>
    <mergeCell ref="C217:C219"/>
    <mergeCell ref="R217:R219"/>
    <mergeCell ref="A224:A243"/>
    <mergeCell ref="R230:R232"/>
    <mergeCell ref="B236:B243"/>
    <mergeCell ref="A211:A221"/>
    <mergeCell ref="V224:V243"/>
    <mergeCell ref="B226:B227"/>
    <mergeCell ref="C226:C227"/>
    <mergeCell ref="R226:R227"/>
    <mergeCell ref="B228:B229"/>
    <mergeCell ref="C228:C229"/>
    <mergeCell ref="J228:J229"/>
    <mergeCell ref="R228:R229"/>
    <mergeCell ref="B230:B232"/>
    <mergeCell ref="C230:C232"/>
    <mergeCell ref="V211:V214"/>
    <mergeCell ref="AA269:AA270"/>
    <mergeCell ref="AI247:AI248"/>
    <mergeCell ref="Z249:Z250"/>
    <mergeCell ref="AA249:AA250"/>
    <mergeCell ref="AL249:AL250"/>
    <mergeCell ref="B250:B252"/>
    <mergeCell ref="C250:C252"/>
    <mergeCell ref="R250:R252"/>
    <mergeCell ref="V251:V252"/>
    <mergeCell ref="Z251:Z252"/>
    <mergeCell ref="AA251:AA252"/>
    <mergeCell ref="V245:V250"/>
    <mergeCell ref="Z245:Z246"/>
    <mergeCell ref="AA245:AA246"/>
    <mergeCell ref="B247:B249"/>
    <mergeCell ref="C247:C249"/>
    <mergeCell ref="J247:J249"/>
    <mergeCell ref="Z247:Z248"/>
    <mergeCell ref="AA247:AA248"/>
    <mergeCell ref="AI269:AI270"/>
    <mergeCell ref="Z271:Z272"/>
    <mergeCell ref="AA271:AA272"/>
    <mergeCell ref="AI271:AI272"/>
    <mergeCell ref="AL251:AL252"/>
    <mergeCell ref="A291:A300"/>
    <mergeCell ref="V291:V294"/>
    <mergeCell ref="B293:B296"/>
    <mergeCell ref="C293:C296"/>
    <mergeCell ref="R293:R296"/>
    <mergeCell ref="B297:B300"/>
    <mergeCell ref="AI277:AI278"/>
    <mergeCell ref="B253:B265"/>
    <mergeCell ref="V253:V254"/>
    <mergeCell ref="Z253:Z254"/>
    <mergeCell ref="AA253:AA254"/>
    <mergeCell ref="A267:A278"/>
    <mergeCell ref="V267:V278"/>
    <mergeCell ref="Z267:Z268"/>
    <mergeCell ref="AA267:AA268"/>
    <mergeCell ref="B269:B272"/>
    <mergeCell ref="A245:A265"/>
    <mergeCell ref="C269:C272"/>
    <mergeCell ref="J269:J272"/>
    <mergeCell ref="Z269:Z270"/>
    <mergeCell ref="AM277:AM278"/>
    <mergeCell ref="A280:A289"/>
    <mergeCell ref="V280:V281"/>
    <mergeCell ref="B282:B284"/>
    <mergeCell ref="C282:C284"/>
    <mergeCell ref="R282:R284"/>
    <mergeCell ref="B285:B289"/>
    <mergeCell ref="B273:B278"/>
    <mergeCell ref="Z273:Z274"/>
    <mergeCell ref="AA273:AA274"/>
    <mergeCell ref="AM273:AM274"/>
    <mergeCell ref="Z275:Z276"/>
    <mergeCell ref="AA275:AA276"/>
    <mergeCell ref="AI275:AI276"/>
    <mergeCell ref="AM275:AM276"/>
    <mergeCell ref="Z277:Z278"/>
    <mergeCell ref="AA277:AA278"/>
    <mergeCell ref="A334:A343"/>
    <mergeCell ref="B340:B343"/>
    <mergeCell ref="A302:A311"/>
    <mergeCell ref="V302:V310"/>
    <mergeCell ref="B304:B305"/>
    <mergeCell ref="C304:C305"/>
    <mergeCell ref="R304:R305"/>
    <mergeCell ref="B306:B310"/>
    <mergeCell ref="C306:C310"/>
    <mergeCell ref="R306:R310"/>
    <mergeCell ref="B321:B332"/>
    <mergeCell ref="A313:A332"/>
    <mergeCell ref="V313:V332"/>
    <mergeCell ref="AD313:AE313"/>
    <mergeCell ref="AS313:AS316"/>
    <mergeCell ref="B315:B316"/>
    <mergeCell ref="C315:C316"/>
    <mergeCell ref="R315:R316"/>
    <mergeCell ref="B317:B320"/>
    <mergeCell ref="C317:C320"/>
    <mergeCell ref="R317:R320"/>
    <mergeCell ref="A356:A365"/>
    <mergeCell ref="V356:V362"/>
    <mergeCell ref="AD356:AE356"/>
    <mergeCell ref="B359:B360"/>
    <mergeCell ref="C359:C360"/>
    <mergeCell ref="B361:B365"/>
    <mergeCell ref="A345:A352"/>
    <mergeCell ref="V345:V352"/>
    <mergeCell ref="AD345:AE345"/>
    <mergeCell ref="B347:B348"/>
    <mergeCell ref="C347:C348"/>
    <mergeCell ref="R347:R348"/>
    <mergeCell ref="B349:B354"/>
    <mergeCell ref="Z340:Z341"/>
    <mergeCell ref="AA340:AA341"/>
    <mergeCell ref="Z342:Z343"/>
    <mergeCell ref="C376:C377"/>
    <mergeCell ref="R376:R377"/>
    <mergeCell ref="B378:B381"/>
    <mergeCell ref="A367:A381"/>
    <mergeCell ref="V367:V369"/>
    <mergeCell ref="AD367:AE367"/>
    <mergeCell ref="B370:B371"/>
    <mergeCell ref="C370:C371"/>
    <mergeCell ref="R370:R371"/>
    <mergeCell ref="B372:B375"/>
    <mergeCell ref="C372:C375"/>
    <mergeCell ref="R372:R375"/>
    <mergeCell ref="B376:B377"/>
    <mergeCell ref="A392:A416"/>
    <mergeCell ref="V392:V394"/>
    <mergeCell ref="AD392:AE392"/>
    <mergeCell ref="B393:B394"/>
    <mergeCell ref="C393:C394"/>
    <mergeCell ref="O393:O394"/>
    <mergeCell ref="P393:P394"/>
    <mergeCell ref="R393:R394"/>
    <mergeCell ref="B395:B396"/>
    <mergeCell ref="C395:C396"/>
    <mergeCell ref="O395:O396"/>
    <mergeCell ref="P395:P396"/>
    <mergeCell ref="R395:R396"/>
    <mergeCell ref="V395:V396"/>
    <mergeCell ref="B397:B398"/>
    <mergeCell ref="C397:C398"/>
    <mergeCell ref="O397:O398"/>
    <mergeCell ref="P397:P398"/>
    <mergeCell ref="R397:R398"/>
    <mergeCell ref="B399:B400"/>
    <mergeCell ref="C399:C400"/>
    <mergeCell ref="O399:O400"/>
    <mergeCell ref="P399:P400"/>
    <mergeCell ref="R399:R400"/>
    <mergeCell ref="B401:B402"/>
    <mergeCell ref="C401:C402"/>
    <mergeCell ref="O401:O402"/>
    <mergeCell ref="P401:P402"/>
    <mergeCell ref="R401:R402"/>
    <mergeCell ref="B403:B404"/>
    <mergeCell ref="C403:C404"/>
    <mergeCell ref="O403:O404"/>
    <mergeCell ref="P403:P404"/>
    <mergeCell ref="R403:R404"/>
    <mergeCell ref="B405:B406"/>
    <mergeCell ref="C405:C406"/>
    <mergeCell ref="O405:O406"/>
    <mergeCell ref="P405:P406"/>
    <mergeCell ref="R405:R406"/>
    <mergeCell ref="B411:B412"/>
    <mergeCell ref="C411:C412"/>
    <mergeCell ref="O411:O412"/>
    <mergeCell ref="P411:P412"/>
    <mergeCell ref="R411:R412"/>
    <mergeCell ref="B413:B416"/>
    <mergeCell ref="B407:B408"/>
    <mergeCell ref="C407:C408"/>
    <mergeCell ref="O407:O408"/>
    <mergeCell ref="P407:P408"/>
    <mergeCell ref="R407:R408"/>
    <mergeCell ref="B409:B410"/>
    <mergeCell ref="C409:C410"/>
    <mergeCell ref="O409:O410"/>
    <mergeCell ref="P409:P410"/>
    <mergeCell ref="R409:R410"/>
    <mergeCell ref="AA342:AA343"/>
    <mergeCell ref="AA334:AA335"/>
    <mergeCell ref="AD334:AE334"/>
    <mergeCell ref="B336:B339"/>
    <mergeCell ref="C336:C339"/>
    <mergeCell ref="R336:R339"/>
    <mergeCell ref="Z336:Z337"/>
    <mergeCell ref="AA336:AA337"/>
    <mergeCell ref="Z338:Z339"/>
    <mergeCell ref="AA338:AA339"/>
    <mergeCell ref="V334:V343"/>
    <mergeCell ref="Z334:Z335"/>
  </mergeCells>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440321" r:id="rId4">
          <objectPr defaultSize="0" autoPict="0" r:id="rId5">
            <anchor moveWithCells="1">
              <from>
                <xdr:col>28</xdr:col>
                <xdr:colOff>487680</xdr:colOff>
                <xdr:row>381</xdr:row>
                <xdr:rowOff>0</xdr:rowOff>
              </from>
              <to>
                <xdr:col>28</xdr:col>
                <xdr:colOff>1821180</xdr:colOff>
                <xdr:row>386</xdr:row>
                <xdr:rowOff>38100</xdr:rowOff>
              </to>
            </anchor>
          </objectPr>
        </oleObject>
      </mc:Choice>
      <mc:Fallback>
        <oleObject progId="Document" dvAspect="DVASPECT_ICON" shapeId="440321" r:id="rId4"/>
      </mc:Fallback>
    </mc:AlternateContent>
    <mc:AlternateContent xmlns:mc="http://schemas.openxmlformats.org/markup-compatibility/2006">
      <mc:Choice Requires="x14">
        <oleObject progId="Document" dvAspect="DVASPECT_ICON" shapeId="440322" r:id="rId6">
          <objectPr defaultSize="0" autoPict="0" r:id="rId7">
            <anchor moveWithCells="1">
              <from>
                <xdr:col>28</xdr:col>
                <xdr:colOff>495300</xdr:colOff>
                <xdr:row>381</xdr:row>
                <xdr:rowOff>0</xdr:rowOff>
              </from>
              <to>
                <xdr:col>28</xdr:col>
                <xdr:colOff>1821180</xdr:colOff>
                <xdr:row>386</xdr:row>
                <xdr:rowOff>38100</xdr:rowOff>
              </to>
            </anchor>
          </objectPr>
        </oleObject>
      </mc:Choice>
      <mc:Fallback>
        <oleObject progId="Document" dvAspect="DVASPECT_ICON" shapeId="440322" r:id="rId6"/>
      </mc:Fallback>
    </mc:AlternateContent>
    <mc:AlternateContent xmlns:mc="http://schemas.openxmlformats.org/markup-compatibility/2006">
      <mc:Choice Requires="x14">
        <oleObject progId="Document" dvAspect="DVASPECT_ICON" shapeId="440323" r:id="rId8">
          <objectPr defaultSize="0" autoPict="0" r:id="rId9">
            <anchor moveWithCells="1">
              <from>
                <xdr:col>28</xdr:col>
                <xdr:colOff>518160</xdr:colOff>
                <xdr:row>381</xdr:row>
                <xdr:rowOff>0</xdr:rowOff>
              </from>
              <to>
                <xdr:col>28</xdr:col>
                <xdr:colOff>1798320</xdr:colOff>
                <xdr:row>386</xdr:row>
                <xdr:rowOff>22860</xdr:rowOff>
              </to>
            </anchor>
          </objectPr>
        </oleObject>
      </mc:Choice>
      <mc:Fallback>
        <oleObject progId="Document" dvAspect="DVASPECT_ICON" shapeId="440323" r:id="rId8"/>
      </mc:Fallback>
    </mc:AlternateContent>
    <mc:AlternateContent xmlns:mc="http://schemas.openxmlformats.org/markup-compatibility/2006">
      <mc:Choice Requires="x14">
        <oleObject progId="Document" dvAspect="DVASPECT_ICON" shapeId="440324" r:id="rId10">
          <objectPr defaultSize="0" autoPict="0" r:id="rId11">
            <anchor moveWithCells="1">
              <from>
                <xdr:col>28</xdr:col>
                <xdr:colOff>487680</xdr:colOff>
                <xdr:row>94</xdr:row>
                <xdr:rowOff>0</xdr:rowOff>
              </from>
              <to>
                <xdr:col>28</xdr:col>
                <xdr:colOff>1714500</xdr:colOff>
                <xdr:row>98</xdr:row>
                <xdr:rowOff>45720</xdr:rowOff>
              </to>
            </anchor>
          </objectPr>
        </oleObject>
      </mc:Choice>
      <mc:Fallback>
        <oleObject progId="Document" dvAspect="DVASPECT_ICON" shapeId="440324" r:id="rId10"/>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313"/>
  <sheetViews>
    <sheetView topLeftCell="A202" zoomScale="70" zoomScaleNormal="70" workbookViewId="0">
      <selection activeCell="B234" sqref="B234"/>
    </sheetView>
  </sheetViews>
  <sheetFormatPr defaultColWidth="9.109375" defaultRowHeight="14.4"/>
  <cols>
    <col min="1" max="1" width="51.5546875" style="1457" customWidth="1"/>
    <col min="2" max="2" width="69.88671875" style="1458" customWidth="1"/>
    <col min="3" max="4" width="17.6640625" style="1459" customWidth="1"/>
    <col min="5" max="5" width="20.109375" style="1458" bestFit="1" customWidth="1"/>
    <col min="6" max="6" width="28.33203125" style="1458" customWidth="1"/>
    <col min="7" max="7" width="24" style="1302" bestFit="1" customWidth="1"/>
    <col min="8" max="8" width="24" style="1302" customWidth="1"/>
    <col min="9" max="9" width="25.33203125" style="1302" bestFit="1" customWidth="1"/>
    <col min="10" max="10" width="25.33203125" style="1302" customWidth="1"/>
    <col min="11" max="11" width="25.33203125" style="1458" customWidth="1"/>
    <col min="12" max="12" width="18.44140625" style="1302" customWidth="1"/>
    <col min="13" max="13" width="29.88671875" style="1443" customWidth="1"/>
    <col min="14" max="14" width="28.44140625" style="1458" customWidth="1"/>
    <col min="15" max="15" width="22.44140625" style="1458" customWidth="1"/>
    <col min="16" max="17" width="22.44140625" style="1302" customWidth="1"/>
    <col min="18" max="20" width="20" style="1302" customWidth="1"/>
    <col min="21" max="21" width="64.6640625" style="1443" customWidth="1"/>
    <col min="22" max="22" width="18.5546875" style="1443" customWidth="1"/>
    <col min="23" max="23" width="18.5546875" style="1458" customWidth="1"/>
    <col min="24" max="24" width="12.33203125" style="1458" bestFit="1" customWidth="1"/>
    <col min="25" max="25" width="14.33203125" style="1458" bestFit="1" customWidth="1"/>
    <col min="26" max="26" width="10.44140625" style="1458" bestFit="1" customWidth="1"/>
    <col min="27" max="27" width="11" style="1458" customWidth="1"/>
    <col min="28" max="28" width="12.5546875" style="1443" bestFit="1" customWidth="1"/>
    <col min="29" max="29" width="6.88671875" style="1458" bestFit="1" customWidth="1"/>
    <col min="30" max="30" width="11.33203125" style="1458" bestFit="1" customWidth="1"/>
    <col min="31" max="31" width="14.33203125" style="1458" bestFit="1" customWidth="1"/>
    <col min="32" max="32" width="15" style="1458" bestFit="1" customWidth="1"/>
    <col min="33" max="33" width="11" style="1458" customWidth="1"/>
    <col min="34" max="34" width="12.5546875" style="1443" bestFit="1" customWidth="1"/>
    <col min="35" max="36" width="12.88671875" style="1458" bestFit="1" customWidth="1"/>
    <col min="37" max="37" width="6.88671875" style="1458" bestFit="1" customWidth="1"/>
    <col min="38" max="39" width="15" style="1458" bestFit="1" customWidth="1"/>
    <col min="40" max="40" width="14.6640625" style="1458" customWidth="1"/>
    <col min="41" max="41" width="10.5546875" style="1443" customWidth="1"/>
    <col min="42" max="42" width="9.109375" style="1332"/>
    <col min="43" max="43" width="0" style="1221" hidden="1" customWidth="1"/>
    <col min="44" max="44" width="14" style="1221" hidden="1" customWidth="1"/>
    <col min="45" max="61" width="0" style="1221" hidden="1" customWidth="1"/>
    <col min="62" max="62" width="9.109375" style="95"/>
    <col min="63" max="63" width="15.44140625" style="153" customWidth="1"/>
    <col min="64" max="64" width="16.5546875" style="153" customWidth="1"/>
    <col min="65" max="65" width="14.109375" style="153" customWidth="1"/>
    <col min="66" max="66" width="17.44140625" style="153" customWidth="1"/>
    <col min="67" max="67" width="13.5546875" style="153" customWidth="1"/>
    <col min="68" max="68" width="13.109375" style="153" customWidth="1"/>
    <col min="69" max="69" width="16.5546875" style="153" customWidth="1"/>
    <col min="70" max="72" width="9.109375" style="153"/>
    <col min="73" max="16384" width="9.109375" style="95"/>
  </cols>
  <sheetData>
    <row r="1" spans="1:71" ht="24" thickBot="1">
      <c r="A1" s="1218"/>
      <c r="B1" s="2499" t="s">
        <v>1426</v>
      </c>
      <c r="C1" s="2499"/>
      <c r="D1" s="2499"/>
      <c r="E1" s="2499"/>
      <c r="F1" s="2499"/>
      <c r="G1" s="2499"/>
      <c r="H1" s="2499"/>
      <c r="I1" s="2499"/>
      <c r="J1" s="2499"/>
      <c r="K1" s="2499"/>
      <c r="L1" s="2500"/>
      <c r="M1" s="2501" t="s">
        <v>1427</v>
      </c>
      <c r="N1" s="2499"/>
      <c r="O1" s="2499"/>
      <c r="P1" s="2499"/>
      <c r="Q1" s="2499"/>
      <c r="R1" s="2499"/>
      <c r="S1" s="1219"/>
      <c r="T1" s="1220"/>
      <c r="U1" s="2501" t="s">
        <v>1428</v>
      </c>
      <c r="V1" s="2499"/>
      <c r="W1" s="2499"/>
      <c r="X1" s="2499"/>
      <c r="Y1" s="2499"/>
      <c r="Z1" s="2499"/>
      <c r="AA1" s="2499"/>
      <c r="AB1" s="2499"/>
      <c r="AC1" s="2499"/>
      <c r="AD1" s="2499"/>
      <c r="AE1" s="2499"/>
      <c r="AF1" s="2499"/>
      <c r="AG1" s="2499"/>
      <c r="AH1" s="2499"/>
      <c r="AI1" s="2499"/>
      <c r="AJ1" s="2499"/>
      <c r="AK1" s="2499"/>
      <c r="AL1" s="2499"/>
      <c r="AM1" s="2499"/>
      <c r="AN1" s="2499"/>
      <c r="AO1" s="2499"/>
      <c r="AP1" s="2499"/>
    </row>
    <row r="2" spans="1:71" ht="18">
      <c r="A2" s="2502" t="s">
        <v>790</v>
      </c>
      <c r="B2" s="1222"/>
      <c r="C2" s="1223"/>
      <c r="D2" s="2504" t="s">
        <v>1429</v>
      </c>
      <c r="E2" s="2505"/>
      <c r="F2" s="2505"/>
      <c r="G2" s="2505"/>
      <c r="H2" s="2505"/>
      <c r="I2" s="2505"/>
      <c r="J2" s="2505"/>
      <c r="K2" s="2505"/>
      <c r="L2" s="2506"/>
      <c r="M2" s="2507" t="s">
        <v>1430</v>
      </c>
      <c r="N2" s="2508"/>
      <c r="O2" s="2508"/>
      <c r="P2" s="2508"/>
      <c r="Q2" s="2508"/>
      <c r="R2" s="2508"/>
      <c r="S2" s="1224"/>
      <c r="T2" s="1225"/>
      <c r="U2" s="1226"/>
      <c r="V2" s="2509" t="s">
        <v>1431</v>
      </c>
      <c r="W2" s="2510"/>
      <c r="X2" s="2510"/>
      <c r="Y2" s="2510"/>
      <c r="Z2" s="2510"/>
      <c r="AA2" s="2510"/>
      <c r="AB2" s="2510"/>
      <c r="AC2" s="2510"/>
      <c r="AD2" s="2510"/>
      <c r="AE2" s="2510"/>
      <c r="AF2" s="2510"/>
      <c r="AG2" s="2511"/>
      <c r="AH2" s="2509" t="s">
        <v>1432</v>
      </c>
      <c r="AI2" s="2510"/>
      <c r="AJ2" s="2510"/>
      <c r="AK2" s="2510"/>
      <c r="AL2" s="2510"/>
      <c r="AM2" s="2510"/>
      <c r="AN2" s="2510"/>
      <c r="AO2" s="2512" t="s">
        <v>1433</v>
      </c>
      <c r="AP2" s="2512"/>
    </row>
    <row r="3" spans="1:71" ht="58.2" thickBot="1">
      <c r="A3" s="2503"/>
      <c r="B3" s="1227" t="s">
        <v>1434</v>
      </c>
      <c r="C3" s="1228" t="s">
        <v>1435</v>
      </c>
      <c r="D3" s="1229" t="s">
        <v>1436</v>
      </c>
      <c r="E3" s="1230" t="s">
        <v>1437</v>
      </c>
      <c r="F3" s="1231" t="s">
        <v>1438</v>
      </c>
      <c r="G3" s="1232" t="s">
        <v>1439</v>
      </c>
      <c r="H3" s="1232" t="s">
        <v>1440</v>
      </c>
      <c r="I3" s="1232" t="s">
        <v>1441</v>
      </c>
      <c r="J3" s="1232" t="s">
        <v>1442</v>
      </c>
      <c r="K3" s="1233" t="s">
        <v>1443</v>
      </c>
      <c r="L3" s="1234" t="s">
        <v>1444</v>
      </c>
      <c r="M3" s="1227" t="s">
        <v>290</v>
      </c>
      <c r="N3" s="1231" t="s">
        <v>1438</v>
      </c>
      <c r="O3" s="1227" t="s">
        <v>1445</v>
      </c>
      <c r="P3" s="1232" t="s">
        <v>1439</v>
      </c>
      <c r="Q3" s="1232" t="s">
        <v>1440</v>
      </c>
      <c r="R3" s="1232" t="s">
        <v>1441</v>
      </c>
      <c r="S3" s="1232" t="s">
        <v>1442</v>
      </c>
      <c r="T3" s="1234" t="s">
        <v>1446</v>
      </c>
      <c r="U3" s="1235" t="s">
        <v>626</v>
      </c>
      <c r="V3" s="1236" t="s">
        <v>1447</v>
      </c>
      <c r="W3" s="1237" t="s">
        <v>1448</v>
      </c>
      <c r="X3" s="1237" t="s">
        <v>1449</v>
      </c>
      <c r="Y3" s="1237" t="s">
        <v>1450</v>
      </c>
      <c r="Z3" s="1237" t="s">
        <v>1451</v>
      </c>
      <c r="AA3" s="1238" t="s">
        <v>1452</v>
      </c>
      <c r="AB3" s="1236" t="s">
        <v>1453</v>
      </c>
      <c r="AC3" s="1237" t="s">
        <v>1454</v>
      </c>
      <c r="AD3" s="1237" t="s">
        <v>1455</v>
      </c>
      <c r="AE3" s="1237" t="s">
        <v>1456</v>
      </c>
      <c r="AF3" s="1237" t="s">
        <v>1457</v>
      </c>
      <c r="AG3" s="1238" t="s">
        <v>1458</v>
      </c>
      <c r="AH3" s="1236" t="s">
        <v>1459</v>
      </c>
      <c r="AI3" s="1237" t="s">
        <v>1460</v>
      </c>
      <c r="AJ3" s="1237" t="s">
        <v>1461</v>
      </c>
      <c r="AK3" s="1237" t="s">
        <v>1462</v>
      </c>
      <c r="AL3" s="1237" t="s">
        <v>1463</v>
      </c>
      <c r="AM3" s="1237" t="s">
        <v>1464</v>
      </c>
      <c r="AN3" s="1238" t="s">
        <v>1465</v>
      </c>
      <c r="AO3" s="1239" t="s">
        <v>1466</v>
      </c>
      <c r="AP3" s="1240" t="s">
        <v>1467</v>
      </c>
    </row>
    <row r="4" spans="1:71" ht="24" thickBot="1">
      <c r="A4" s="1241" t="s">
        <v>979</v>
      </c>
      <c r="B4" s="1242"/>
      <c r="C4" s="1243"/>
      <c r="D4" s="1243"/>
      <c r="E4" s="1242"/>
      <c r="F4" s="1242"/>
      <c r="G4" s="1244"/>
      <c r="H4" s="1244"/>
      <c r="I4" s="1244"/>
      <c r="J4" s="1244"/>
      <c r="K4" s="1242"/>
      <c r="L4" s="1244"/>
      <c r="M4" s="1245"/>
      <c r="N4" s="1242"/>
      <c r="O4" s="1242"/>
      <c r="P4" s="1244"/>
      <c r="Q4" s="1244"/>
      <c r="R4" s="1244"/>
      <c r="S4" s="1244"/>
      <c r="T4" s="1244"/>
      <c r="U4" s="1245"/>
      <c r="V4" s="1245"/>
      <c r="W4" s="1242"/>
      <c r="X4" s="1242"/>
      <c r="Y4" s="1242"/>
      <c r="Z4" s="1242"/>
      <c r="AA4" s="1242"/>
      <c r="AB4" s="1245"/>
      <c r="AC4" s="1242"/>
      <c r="AD4" s="1242"/>
      <c r="AE4" s="1242"/>
      <c r="AF4" s="1242"/>
      <c r="AG4" s="1242"/>
      <c r="AH4" s="1245"/>
      <c r="AI4" s="1242"/>
      <c r="AJ4" s="1242"/>
      <c r="AK4" s="1242"/>
      <c r="AL4" s="1242"/>
      <c r="AM4" s="1242"/>
      <c r="AN4" s="1242"/>
      <c r="AO4" s="1245"/>
      <c r="AP4" s="1246"/>
      <c r="BK4" s="164" t="s">
        <v>489</v>
      </c>
    </row>
    <row r="5" spans="1:71" ht="27.6">
      <c r="A5" s="2498" t="s">
        <v>1024</v>
      </c>
      <c r="B5" s="1273" t="s">
        <v>240</v>
      </c>
      <c r="C5" s="1255" t="s">
        <v>1471</v>
      </c>
      <c r="D5" s="1255" t="s">
        <v>1433</v>
      </c>
      <c r="E5" s="1274">
        <f>AT16</f>
        <v>5.8789455201364291E-2</v>
      </c>
      <c r="F5" s="1268" t="s">
        <v>1472</v>
      </c>
      <c r="G5" s="1258">
        <f>AP5*BQ22</f>
        <v>55.563000548877199</v>
      </c>
      <c r="H5" s="1258">
        <f>G5*E5</f>
        <v>3.2665185316215957</v>
      </c>
      <c r="I5" s="1260"/>
      <c r="J5" s="1259"/>
      <c r="K5" s="1275">
        <v>0.23</v>
      </c>
      <c r="L5" s="1276">
        <f>(E5*G5)*(1+K5)</f>
        <v>4.0178177938945625</v>
      </c>
      <c r="M5" s="1251" t="s">
        <v>1473</v>
      </c>
      <c r="N5" s="1248"/>
      <c r="O5" s="1256">
        <v>8.5999999999999993E-2</v>
      </c>
      <c r="P5" s="1277">
        <v>67.88</v>
      </c>
      <c r="Q5" s="1250"/>
      <c r="R5" s="1278"/>
      <c r="S5" s="1279"/>
      <c r="T5" s="1280">
        <f>O5*P5</f>
        <v>5.8376799999999989</v>
      </c>
      <c r="U5" s="1261" t="s">
        <v>1474</v>
      </c>
      <c r="V5" s="1226"/>
      <c r="W5" s="1281"/>
      <c r="X5" s="1281"/>
      <c r="Y5" s="1222"/>
      <c r="Z5" s="1222"/>
      <c r="AA5" s="1222"/>
      <c r="AB5" s="1226"/>
      <c r="AC5" s="1222"/>
      <c r="AD5" s="1222"/>
      <c r="AE5" s="1222"/>
      <c r="AF5" s="1222"/>
      <c r="AG5" s="1222"/>
      <c r="AH5" s="1226"/>
      <c r="AI5" s="1222"/>
      <c r="AJ5" s="1222"/>
      <c r="AK5" s="1222"/>
      <c r="AL5" s="1222"/>
      <c r="AM5" s="1222"/>
      <c r="AN5" s="1222"/>
      <c r="AO5" s="1282">
        <v>4</v>
      </c>
      <c r="AP5" s="1283">
        <v>47.98</v>
      </c>
      <c r="BK5" s="154" t="s">
        <v>490</v>
      </c>
      <c r="BL5" s="154" t="s">
        <v>491</v>
      </c>
      <c r="BM5" s="154" t="s">
        <v>471</v>
      </c>
      <c r="BN5" s="154" t="s">
        <v>472</v>
      </c>
      <c r="BO5" s="1254" t="s">
        <v>473</v>
      </c>
      <c r="BP5" s="1254" t="s">
        <v>474</v>
      </c>
      <c r="BQ5" s="1254" t="s">
        <v>475</v>
      </c>
    </row>
    <row r="6" spans="1:71" ht="15" customHeight="1">
      <c r="A6" s="2480"/>
      <c r="B6" s="1222"/>
      <c r="C6" s="1223"/>
      <c r="D6" s="1223"/>
      <c r="E6" s="1222"/>
      <c r="F6" s="1222"/>
      <c r="G6" s="1270"/>
      <c r="H6" s="1270"/>
      <c r="I6" s="1270"/>
      <c r="J6" s="1270"/>
      <c r="K6" s="1222"/>
      <c r="L6" s="1270"/>
      <c r="M6" s="1285"/>
      <c r="N6" s="1222"/>
      <c r="O6" s="1222"/>
      <c r="P6" s="1270"/>
      <c r="Q6" s="1270"/>
      <c r="R6" s="1270"/>
      <c r="S6" s="1270"/>
      <c r="T6" s="1270"/>
      <c r="U6" s="1261" t="s">
        <v>1475</v>
      </c>
      <c r="V6" s="1286"/>
      <c r="W6" s="1222"/>
      <c r="X6" s="1222"/>
      <c r="Y6" s="1222"/>
      <c r="Z6" s="1222"/>
      <c r="AA6" s="1222"/>
      <c r="AB6" s="1226"/>
      <c r="AC6" s="1222"/>
      <c r="AD6" s="1222"/>
      <c r="AE6" s="1222"/>
      <c r="AF6" s="1222"/>
      <c r="AG6" s="1222"/>
      <c r="AH6" s="1226"/>
      <c r="AI6" s="1222"/>
      <c r="AJ6" s="1222"/>
      <c r="AK6" s="1222"/>
      <c r="AL6" s="1222"/>
      <c r="AM6" s="1222"/>
      <c r="AN6" s="1222"/>
      <c r="AO6" s="1282">
        <v>4.444</v>
      </c>
      <c r="AP6" s="1283">
        <v>47.98</v>
      </c>
      <c r="BK6" s="1266">
        <v>1</v>
      </c>
      <c r="BL6" s="1267" t="s">
        <v>492</v>
      </c>
      <c r="BM6" s="1268">
        <v>0.94</v>
      </c>
      <c r="BN6" s="1268">
        <v>1.0169999999999999</v>
      </c>
      <c r="BO6" s="1269">
        <v>3.2678012053238359E-3</v>
      </c>
      <c r="BP6" s="1269">
        <f>BM6*BO6</f>
        <v>3.0717331330044058E-3</v>
      </c>
      <c r="BQ6" s="1269">
        <f t="shared" ref="BQ6:BQ21" si="0">BN6*BO6</f>
        <v>3.3233538258143408E-3</v>
      </c>
      <c r="BS6" s="153" t="s">
        <v>1469</v>
      </c>
    </row>
    <row r="7" spans="1:71" ht="15" customHeight="1">
      <c r="A7" s="2480"/>
      <c r="B7" s="1222"/>
      <c r="C7" s="1223"/>
      <c r="D7" s="1223"/>
      <c r="E7" s="1222"/>
      <c r="F7" s="1222"/>
      <c r="G7" s="1270"/>
      <c r="H7" s="1270"/>
      <c r="I7" s="1270"/>
      <c r="J7" s="1270"/>
      <c r="K7" s="1222"/>
      <c r="L7" s="1270"/>
      <c r="M7" s="1226"/>
      <c r="N7" s="1222"/>
      <c r="O7" s="1222"/>
      <c r="P7" s="1270"/>
      <c r="Q7" s="1270"/>
      <c r="R7" s="1270"/>
      <c r="S7" s="1270"/>
      <c r="T7" s="1270"/>
      <c r="U7" s="1261" t="s">
        <v>1477</v>
      </c>
      <c r="V7" s="1226"/>
      <c r="W7" s="1222"/>
      <c r="X7" s="1222"/>
      <c r="Y7" s="1222"/>
      <c r="Z7" s="1222"/>
      <c r="AA7" s="1222"/>
      <c r="AB7" s="1226"/>
      <c r="AC7" s="1222"/>
      <c r="AD7" s="1222"/>
      <c r="AE7" s="1222"/>
      <c r="AF7" s="1222"/>
      <c r="AG7" s="1222"/>
      <c r="AH7" s="1226"/>
      <c r="AI7" s="1222"/>
      <c r="AJ7" s="1222"/>
      <c r="AK7" s="1222"/>
      <c r="AL7" s="1222"/>
      <c r="AM7" s="1222"/>
      <c r="AN7" s="1222"/>
      <c r="AO7" s="1282">
        <v>5</v>
      </c>
      <c r="AP7" s="1283">
        <v>47.98</v>
      </c>
      <c r="BK7" s="1271">
        <v>2</v>
      </c>
      <c r="BL7" s="1267" t="s">
        <v>493</v>
      </c>
      <c r="BM7" s="1268">
        <v>0.94</v>
      </c>
      <c r="BN7" s="1268">
        <v>1.653</v>
      </c>
      <c r="BO7" s="1269">
        <v>9.6951641438708762E-3</v>
      </c>
      <c r="BP7" s="1269">
        <f t="shared" ref="BP7:BP21" si="1">BM7*BO7</f>
        <v>9.1134542952386235E-3</v>
      </c>
      <c r="BQ7" s="1269">
        <f t="shared" si="0"/>
        <v>1.602610632981856E-2</v>
      </c>
      <c r="BS7" s="153">
        <f>BQ22/BN8</f>
        <v>0.69219667076958991</v>
      </c>
    </row>
    <row r="8" spans="1:71" ht="15" customHeight="1">
      <c r="A8" s="2480"/>
      <c r="B8" s="1222"/>
      <c r="C8" s="1223"/>
      <c r="D8" s="1223"/>
      <c r="E8" s="1222"/>
      <c r="F8" s="1222"/>
      <c r="G8" s="1270"/>
      <c r="H8" s="1270"/>
      <c r="I8" s="1270"/>
      <c r="J8" s="1270"/>
      <c r="K8" s="1222"/>
      <c r="L8" s="1270"/>
      <c r="M8" s="1226"/>
      <c r="N8" s="1222"/>
      <c r="O8" s="1222"/>
      <c r="P8" s="1270"/>
      <c r="Q8" s="1270"/>
      <c r="R8" s="1270"/>
      <c r="S8" s="1270"/>
      <c r="T8" s="1270"/>
      <c r="U8" s="1261" t="s">
        <v>1479</v>
      </c>
      <c r="V8" s="1226"/>
      <c r="W8" s="1222"/>
      <c r="X8" s="1222"/>
      <c r="Y8" s="1222"/>
      <c r="Z8" s="1222"/>
      <c r="AA8" s="1222"/>
      <c r="AB8" s="1226"/>
      <c r="AC8" s="1222"/>
      <c r="AD8" s="1222"/>
      <c r="AE8" s="1222"/>
      <c r="AF8" s="1222"/>
      <c r="AG8" s="1222"/>
      <c r="AH8" s="1226"/>
      <c r="AI8" s="1222"/>
      <c r="AJ8" s="1222"/>
      <c r="AK8" s="1222"/>
      <c r="AL8" s="1222"/>
      <c r="AM8" s="1222"/>
      <c r="AN8" s="1222"/>
      <c r="AO8" s="1264">
        <v>5.3330000000000002</v>
      </c>
      <c r="AP8" s="1283">
        <v>47.98</v>
      </c>
      <c r="BK8" s="1271">
        <v>3</v>
      </c>
      <c r="BL8" s="1267" t="s">
        <v>494</v>
      </c>
      <c r="BM8" s="1268">
        <v>1.0009999999999999</v>
      </c>
      <c r="BN8" s="1268">
        <v>1.673</v>
      </c>
      <c r="BO8" s="1269">
        <v>3.0273549494431465E-2</v>
      </c>
      <c r="BP8" s="1269">
        <f t="shared" si="1"/>
        <v>3.0303823043925891E-2</v>
      </c>
      <c r="BQ8" s="1269">
        <f t="shared" si="0"/>
        <v>5.0647648304183841E-2</v>
      </c>
    </row>
    <row r="9" spans="1:71" ht="15" customHeight="1">
      <c r="A9" s="2480"/>
      <c r="B9" s="1222"/>
      <c r="C9" s="1223"/>
      <c r="D9" s="1223"/>
      <c r="E9" s="1222"/>
      <c r="F9" s="1222"/>
      <c r="G9" s="1270"/>
      <c r="H9" s="1270"/>
      <c r="I9" s="1270"/>
      <c r="J9" s="1270"/>
      <c r="K9" s="1222"/>
      <c r="L9" s="1270"/>
      <c r="M9" s="1226"/>
      <c r="N9" s="1222"/>
      <c r="O9" s="1222"/>
      <c r="P9" s="1270"/>
      <c r="Q9" s="1270"/>
      <c r="R9" s="1270"/>
      <c r="S9" s="1270"/>
      <c r="T9" s="1270"/>
      <c r="U9" s="1261" t="s">
        <v>1481</v>
      </c>
      <c r="V9" s="1226"/>
      <c r="W9" s="1222"/>
      <c r="X9" s="1222"/>
      <c r="Y9" s="1222"/>
      <c r="Z9" s="1222"/>
      <c r="AA9" s="1222"/>
      <c r="AB9" s="1226"/>
      <c r="AC9" s="1222"/>
      <c r="AD9" s="1222"/>
      <c r="AE9" s="1222"/>
      <c r="AF9" s="1222"/>
      <c r="AG9" s="1222"/>
      <c r="AH9" s="1226"/>
      <c r="AI9" s="1222"/>
      <c r="AJ9" s="1222"/>
      <c r="AK9" s="1222"/>
      <c r="AL9" s="1222"/>
      <c r="AM9" s="1222"/>
      <c r="AN9" s="1222"/>
      <c r="AO9" s="1264">
        <v>5.3330000000000002</v>
      </c>
      <c r="AP9" s="1283">
        <v>47.98</v>
      </c>
      <c r="BK9" s="1271">
        <v>4</v>
      </c>
      <c r="BL9" s="1267" t="s">
        <v>495</v>
      </c>
      <c r="BM9" s="1268">
        <v>1</v>
      </c>
      <c r="BN9" s="1268">
        <v>1.448</v>
      </c>
      <c r="BO9" s="1269">
        <v>1.528624830392613E-2</v>
      </c>
      <c r="BP9" s="1269">
        <f t="shared" si="1"/>
        <v>1.528624830392613E-2</v>
      </c>
      <c r="BQ9" s="1269">
        <f t="shared" si="0"/>
        <v>2.2134487544085035E-2</v>
      </c>
    </row>
    <row r="10" spans="1:71" ht="15" customHeight="1">
      <c r="A10" s="2480"/>
      <c r="B10" s="1222"/>
      <c r="C10" s="1223"/>
      <c r="D10" s="1223"/>
      <c r="E10" s="1222"/>
      <c r="F10" s="1222"/>
      <c r="G10" s="1270"/>
      <c r="H10" s="1270"/>
      <c r="I10" s="1270"/>
      <c r="J10" s="1270"/>
      <c r="K10" s="1222"/>
      <c r="L10" s="1270"/>
      <c r="M10" s="1226"/>
      <c r="N10" s="1222"/>
      <c r="O10" s="1222"/>
      <c r="P10" s="1270"/>
      <c r="Q10" s="1270"/>
      <c r="R10" s="1270"/>
      <c r="S10" s="1270"/>
      <c r="T10" s="1270"/>
      <c r="U10" s="1261" t="s">
        <v>1482</v>
      </c>
      <c r="V10" s="1226"/>
      <c r="W10" s="1222"/>
      <c r="X10" s="1222"/>
      <c r="Y10" s="1222"/>
      <c r="Z10" s="1222"/>
      <c r="AA10" s="1222"/>
      <c r="AB10" s="1226"/>
      <c r="AC10" s="1222"/>
      <c r="AD10" s="1222"/>
      <c r="AE10" s="1222"/>
      <c r="AF10" s="1222"/>
      <c r="AG10" s="1222"/>
      <c r="AH10" s="1226"/>
      <c r="AI10" s="1222"/>
      <c r="AJ10" s="1222"/>
      <c r="AK10" s="1222"/>
      <c r="AL10" s="1222"/>
      <c r="AM10" s="1222"/>
      <c r="AN10" s="1222"/>
      <c r="AO10" s="1264">
        <v>5.7140000000000004</v>
      </c>
      <c r="AP10" s="1283">
        <v>47.98</v>
      </c>
      <c r="BK10" s="1271">
        <v>5</v>
      </c>
      <c r="BL10" s="1267" t="s">
        <v>496</v>
      </c>
      <c r="BM10" s="1268">
        <v>0.94</v>
      </c>
      <c r="BN10" s="1268">
        <v>1.0549999999999999</v>
      </c>
      <c r="BO10" s="1269">
        <v>4.3295788840252714E-4</v>
      </c>
      <c r="BP10" s="1269">
        <f t="shared" si="1"/>
        <v>4.0698041509837547E-4</v>
      </c>
      <c r="BQ10" s="1269">
        <f t="shared" si="0"/>
        <v>4.5677057226466611E-4</v>
      </c>
    </row>
    <row r="11" spans="1:71" ht="15" customHeight="1">
      <c r="A11" s="2480"/>
      <c r="B11" s="1287"/>
      <c r="C11" s="1288"/>
      <c r="D11" s="1288"/>
      <c r="E11" s="1287"/>
      <c r="F11" s="1287"/>
      <c r="G11" s="1289"/>
      <c r="H11" s="1289"/>
      <c r="I11" s="1289"/>
      <c r="J11" s="1289"/>
      <c r="K11" s="1287"/>
      <c r="L11" s="1289"/>
      <c r="M11" s="1290"/>
      <c r="N11" s="1287"/>
      <c r="O11" s="1287"/>
      <c r="P11" s="1289"/>
      <c r="Q11" s="1289"/>
      <c r="R11" s="1289"/>
      <c r="S11" s="1289"/>
      <c r="T11" s="1289"/>
      <c r="U11" s="1291" t="s">
        <v>1483</v>
      </c>
      <c r="V11" s="1226"/>
      <c r="W11" s="1222"/>
      <c r="X11" s="1222"/>
      <c r="Y11" s="1222"/>
      <c r="Z11" s="1222"/>
      <c r="AA11" s="1222"/>
      <c r="AB11" s="1226"/>
      <c r="AC11" s="1222"/>
      <c r="AD11" s="1222"/>
      <c r="AE11" s="1222"/>
      <c r="AF11" s="1222"/>
      <c r="AG11" s="1222"/>
      <c r="AH11" s="1226"/>
      <c r="AI11" s="1222"/>
      <c r="AJ11" s="1222"/>
      <c r="AK11" s="1222"/>
      <c r="AL11" s="1222"/>
      <c r="AM11" s="1222"/>
      <c r="AN11" s="1222"/>
      <c r="AO11" s="1264">
        <v>4</v>
      </c>
      <c r="AP11" s="1283">
        <v>47.98</v>
      </c>
      <c r="BK11" s="1271">
        <v>6</v>
      </c>
      <c r="BL11" s="1267" t="s">
        <v>497</v>
      </c>
      <c r="BM11" s="1268">
        <v>1</v>
      </c>
      <c r="BN11" s="1268">
        <v>1.167</v>
      </c>
      <c r="BO11" s="1269">
        <v>0.13910447299618456</v>
      </c>
      <c r="BP11" s="1269">
        <f t="shared" si="1"/>
        <v>0.13910447299618456</v>
      </c>
      <c r="BQ11" s="1269">
        <f t="shared" si="0"/>
        <v>0.16233491998654739</v>
      </c>
    </row>
    <row r="12" spans="1:71" ht="15" customHeight="1">
      <c r="A12" s="2480"/>
      <c r="B12" s="1287"/>
      <c r="C12" s="1288"/>
      <c r="D12" s="1288"/>
      <c r="E12" s="1287"/>
      <c r="F12" s="1287"/>
      <c r="G12" s="1289"/>
      <c r="H12" s="1289"/>
      <c r="I12" s="1289"/>
      <c r="J12" s="1289"/>
      <c r="K12" s="1287"/>
      <c r="L12" s="1289"/>
      <c r="M12" s="1290"/>
      <c r="N12" s="1287"/>
      <c r="O12" s="1287"/>
      <c r="P12" s="1289"/>
      <c r="Q12" s="1289"/>
      <c r="R12" s="1289"/>
      <c r="S12" s="1289"/>
      <c r="T12" s="1289"/>
      <c r="U12" s="1291" t="s">
        <v>1484</v>
      </c>
      <c r="V12" s="1226"/>
      <c r="W12" s="1222"/>
      <c r="X12" s="1222"/>
      <c r="Y12" s="1222"/>
      <c r="Z12" s="1222"/>
      <c r="AA12" s="1222"/>
      <c r="AB12" s="1226"/>
      <c r="AC12" s="1222"/>
      <c r="AD12" s="1222"/>
      <c r="AE12" s="1222"/>
      <c r="AF12" s="1222"/>
      <c r="AG12" s="1222"/>
      <c r="AH12" s="1226"/>
      <c r="AI12" s="1222"/>
      <c r="AJ12" s="1222"/>
      <c r="AK12" s="1222"/>
      <c r="AL12" s="1222"/>
      <c r="AM12" s="1222"/>
      <c r="AN12" s="1222"/>
      <c r="AO12" s="1264">
        <v>4.2110000000000003</v>
      </c>
      <c r="AP12" s="1283">
        <v>47.98</v>
      </c>
      <c r="BK12" s="1271">
        <v>7</v>
      </c>
      <c r="BL12" s="1267" t="s">
        <v>498</v>
      </c>
      <c r="BM12" s="1268">
        <v>1</v>
      </c>
      <c r="BN12" s="1268">
        <v>1.1519999999999999</v>
      </c>
      <c r="BO12" s="1269">
        <v>4.6714352167431E-2</v>
      </c>
      <c r="BP12" s="1269">
        <f t="shared" si="1"/>
        <v>4.6714352167431E-2</v>
      </c>
      <c r="BQ12" s="1269">
        <f t="shared" si="0"/>
        <v>5.3814933696880507E-2</v>
      </c>
    </row>
    <row r="13" spans="1:71" ht="15" customHeight="1">
      <c r="A13" s="2480"/>
      <c r="B13" s="1287"/>
      <c r="C13" s="1288"/>
      <c r="D13" s="1288"/>
      <c r="E13" s="1287"/>
      <c r="F13" s="1287"/>
      <c r="G13" s="1289"/>
      <c r="H13" s="1289"/>
      <c r="I13" s="1289"/>
      <c r="J13" s="1289"/>
      <c r="K13" s="1287"/>
      <c r="L13" s="1289"/>
      <c r="M13" s="1290"/>
      <c r="N13" s="1287"/>
      <c r="O13" s="1287"/>
      <c r="P13" s="1289"/>
      <c r="Q13" s="1289"/>
      <c r="R13" s="1289"/>
      <c r="S13" s="1289"/>
      <c r="T13" s="1289"/>
      <c r="U13" s="1291" t="s">
        <v>1485</v>
      </c>
      <c r="V13" s="1226"/>
      <c r="W13" s="1222"/>
      <c r="X13" s="1222"/>
      <c r="Y13" s="1222"/>
      <c r="Z13" s="1222"/>
      <c r="AA13" s="1222"/>
      <c r="AB13" s="1226"/>
      <c r="AC13" s="1222"/>
      <c r="AD13" s="1222"/>
      <c r="AE13" s="1222"/>
      <c r="AF13" s="1222"/>
      <c r="AG13" s="1222"/>
      <c r="AH13" s="1226"/>
      <c r="AI13" s="1222"/>
      <c r="AJ13" s="1222"/>
      <c r="AK13" s="1222"/>
      <c r="AL13" s="1222"/>
      <c r="AM13" s="1222"/>
      <c r="AN13" s="1222"/>
      <c r="AO13" s="1264">
        <v>4.444</v>
      </c>
      <c r="AP13" s="1283">
        <v>47.98</v>
      </c>
      <c r="BK13" s="1271">
        <v>8</v>
      </c>
      <c r="BL13" s="1267" t="s">
        <v>499</v>
      </c>
      <c r="BM13" s="1268">
        <v>0.94</v>
      </c>
      <c r="BN13" s="1268">
        <v>1.0549999999999999</v>
      </c>
      <c r="BO13" s="1269">
        <v>0.16224194872283865</v>
      </c>
      <c r="BP13" s="1269">
        <f t="shared" si="1"/>
        <v>0.15250743179946832</v>
      </c>
      <c r="BQ13" s="1269">
        <f t="shared" si="0"/>
        <v>0.17116525590259477</v>
      </c>
    </row>
    <row r="14" spans="1:71" ht="15.75" customHeight="1">
      <c r="A14" s="2480"/>
      <c r="B14" s="1287"/>
      <c r="C14" s="1288"/>
      <c r="D14" s="1288"/>
      <c r="E14" s="1287"/>
      <c r="F14" s="1287"/>
      <c r="G14" s="1289"/>
      <c r="H14" s="1289"/>
      <c r="I14" s="1289"/>
      <c r="J14" s="1289"/>
      <c r="K14" s="1287"/>
      <c r="L14" s="1289"/>
      <c r="M14" s="1290"/>
      <c r="N14" s="1287"/>
      <c r="O14" s="1287"/>
      <c r="P14" s="1289"/>
      <c r="Q14" s="1289"/>
      <c r="R14" s="1289"/>
      <c r="S14" s="1289"/>
      <c r="T14" s="1289"/>
      <c r="U14" s="1291" t="s">
        <v>1486</v>
      </c>
      <c r="V14" s="1226"/>
      <c r="W14" s="1222"/>
      <c r="X14" s="1222"/>
      <c r="Y14" s="1222"/>
      <c r="Z14" s="1222"/>
      <c r="AA14" s="1222"/>
      <c r="AB14" s="1226"/>
      <c r="AC14" s="1222"/>
      <c r="AD14" s="1222"/>
      <c r="AE14" s="1222"/>
      <c r="AF14" s="1222"/>
      <c r="AG14" s="1222"/>
      <c r="AH14" s="1226"/>
      <c r="AI14" s="1222"/>
      <c r="AJ14" s="1222"/>
      <c r="AK14" s="1222"/>
      <c r="AL14" s="1222"/>
      <c r="AM14" s="1222"/>
      <c r="AN14" s="1222"/>
      <c r="AO14" s="1264">
        <v>4.8479999999999999</v>
      </c>
      <c r="AP14" s="1283">
        <v>47.98</v>
      </c>
      <c r="BH14" s="1221" t="s">
        <v>1470</v>
      </c>
      <c r="BK14" s="1271">
        <v>9</v>
      </c>
      <c r="BL14" s="1267" t="s">
        <v>500</v>
      </c>
      <c r="BM14" s="1268">
        <v>1.0009999999999999</v>
      </c>
      <c r="BN14" s="1268">
        <v>1.167</v>
      </c>
      <c r="BO14" s="1269">
        <v>0.2181038248479171</v>
      </c>
      <c r="BP14" s="1269">
        <f t="shared" si="1"/>
        <v>0.21832192867276498</v>
      </c>
      <c r="BQ14" s="1269">
        <f t="shared" si="0"/>
        <v>0.25452716359751926</v>
      </c>
    </row>
    <row r="15" spans="1:71" ht="12" customHeight="1" thickBot="1">
      <c r="A15" s="1293"/>
      <c r="B15" s="1287"/>
      <c r="C15" s="1288"/>
      <c r="D15" s="1288"/>
      <c r="E15" s="1287"/>
      <c r="F15" s="1287"/>
      <c r="G15" s="1289"/>
      <c r="H15" s="1289"/>
      <c r="I15" s="1289"/>
      <c r="J15" s="1289"/>
      <c r="K15" s="1287"/>
      <c r="L15" s="1289"/>
      <c r="M15" s="1290"/>
      <c r="N15" s="1287"/>
      <c r="O15" s="1287"/>
      <c r="P15" s="1289"/>
      <c r="Q15" s="1289"/>
      <c r="R15" s="1289"/>
      <c r="S15" s="1289"/>
      <c r="T15" s="1289"/>
      <c r="U15" s="1291" t="s">
        <v>1487</v>
      </c>
      <c r="V15" s="1226"/>
      <c r="W15" s="1222"/>
      <c r="X15" s="1222"/>
      <c r="Y15" s="1222"/>
      <c r="Z15" s="1222"/>
      <c r="AA15" s="1222"/>
      <c r="AB15" s="1226"/>
      <c r="AC15" s="1222"/>
      <c r="AD15" s="1222"/>
      <c r="AE15" s="1222"/>
      <c r="AF15" s="1222"/>
      <c r="AG15" s="1222"/>
      <c r="AH15" s="1226"/>
      <c r="AI15" s="1222"/>
      <c r="AJ15" s="1222"/>
      <c r="AK15" s="1222"/>
      <c r="AL15" s="1222"/>
      <c r="AM15" s="1222"/>
      <c r="AN15" s="1222"/>
      <c r="AO15" s="1264">
        <v>5.1609999999999996</v>
      </c>
      <c r="AP15" s="1283">
        <v>47.98</v>
      </c>
      <c r="BK15" s="1271">
        <v>10</v>
      </c>
      <c r="BL15" s="1267" t="s">
        <v>501</v>
      </c>
      <c r="BM15" s="1268">
        <v>1</v>
      </c>
      <c r="BN15" s="1268">
        <v>1.1659999999999999</v>
      </c>
      <c r="BO15" s="1269">
        <v>0.21277818510753721</v>
      </c>
      <c r="BP15" s="1269">
        <f t="shared" si="1"/>
        <v>0.21277818510753721</v>
      </c>
      <c r="BQ15" s="1269">
        <f t="shared" si="0"/>
        <v>0.24809936383538836</v>
      </c>
    </row>
    <row r="16" spans="1:71" ht="18.600000000000001" thickBot="1">
      <c r="A16" s="1272"/>
      <c r="B16" s="1242"/>
      <c r="C16" s="1243"/>
      <c r="D16" s="1243"/>
      <c r="E16" s="1242"/>
      <c r="F16" s="1242"/>
      <c r="G16" s="1244"/>
      <c r="H16" s="1244"/>
      <c r="I16" s="1244"/>
      <c r="J16" s="1244"/>
      <c r="K16" s="1242"/>
      <c r="L16" s="1244"/>
      <c r="M16" s="1245"/>
      <c r="N16" s="1242"/>
      <c r="O16" s="1242"/>
      <c r="P16" s="1244"/>
      <c r="Q16" s="1244"/>
      <c r="R16" s="1244"/>
      <c r="S16" s="1244"/>
      <c r="T16" s="1244"/>
      <c r="U16" s="1245"/>
      <c r="V16" s="1294"/>
      <c r="W16" s="1295"/>
      <c r="X16" s="1295"/>
      <c r="Y16" s="1295"/>
      <c r="Z16" s="1295"/>
      <c r="AA16" s="1296"/>
      <c r="AB16" s="1245"/>
      <c r="AC16" s="1242"/>
      <c r="AD16" s="1242"/>
      <c r="AE16" s="1242"/>
      <c r="AF16" s="1242"/>
      <c r="AG16" s="1242"/>
      <c r="AH16" s="1245"/>
      <c r="AI16" s="1242"/>
      <c r="AJ16" s="1242"/>
      <c r="AK16" s="1242"/>
      <c r="AL16" s="1242"/>
      <c r="AM16" s="1242"/>
      <c r="AN16" s="1242"/>
      <c r="AO16" s="1245"/>
      <c r="AP16" s="1246"/>
      <c r="AQ16" s="1284">
        <v>45</v>
      </c>
      <c r="AR16" s="1221">
        <f t="shared" ref="AR16:AR26" si="2">AO5/AQ16</f>
        <v>8.8888888888888892E-2</v>
      </c>
      <c r="AS16" s="1221" t="s">
        <v>398</v>
      </c>
      <c r="AT16" s="1221">
        <f>AVERAGE(AR16:AR26)</f>
        <v>5.8789455201364291E-2</v>
      </c>
      <c r="BF16" s="1221">
        <v>919.79</v>
      </c>
      <c r="BG16" s="1221">
        <v>1152.0999999999999</v>
      </c>
      <c r="BH16" s="1221">
        <f>BG16/BF16</f>
        <v>1.2525685210754629</v>
      </c>
      <c r="BK16" s="1271">
        <v>11</v>
      </c>
      <c r="BL16" s="1267" t="s">
        <v>502</v>
      </c>
      <c r="BM16" s="1268">
        <v>1</v>
      </c>
      <c r="BN16" s="1268">
        <v>1.07</v>
      </c>
      <c r="BO16" s="1269">
        <v>1.0238938634662145E-2</v>
      </c>
      <c r="BP16" s="1269">
        <f t="shared" si="1"/>
        <v>1.0238938634662145E-2</v>
      </c>
      <c r="BQ16" s="1269">
        <f t="shared" si="0"/>
        <v>1.0955664339088496E-2</v>
      </c>
    </row>
    <row r="17" spans="1:72">
      <c r="A17" s="2480" t="s">
        <v>1057</v>
      </c>
      <c r="B17" s="1297" t="s">
        <v>1488</v>
      </c>
      <c r="C17" s="1298" t="s">
        <v>1489</v>
      </c>
      <c r="D17" s="1298" t="s">
        <v>1490</v>
      </c>
      <c r="E17" s="1299">
        <f>SUM(AH19:AH22)</f>
        <v>31.353832233535051</v>
      </c>
      <c r="F17" s="1300"/>
      <c r="G17" s="1301"/>
      <c r="H17" s="2490">
        <f>G18*E17</f>
        <v>2235.4108836558853</v>
      </c>
      <c r="I17" s="1302">
        <f>AL21</f>
        <v>58.734585925980568</v>
      </c>
      <c r="J17" s="1301">
        <f>AL18</f>
        <v>598.37801194433382</v>
      </c>
      <c r="K17" s="1303"/>
      <c r="L17" s="2497">
        <f>((E17*G18)+I17+I19)*(1+K18)</f>
        <v>5132.6979737168786</v>
      </c>
      <c r="M17" s="1256" t="s">
        <v>1433</v>
      </c>
      <c r="N17" s="1304" t="s">
        <v>1491</v>
      </c>
      <c r="O17" s="1297">
        <f>AO26+AO32</f>
        <v>30.476300000000002</v>
      </c>
      <c r="P17" s="1301">
        <f>AT40*BQ22</f>
        <v>60.333944582430924</v>
      </c>
      <c r="Q17" s="1305">
        <f>O17*P17</f>
        <v>1838.7553952775397</v>
      </c>
      <c r="R17" s="1306"/>
      <c r="S17" s="1306"/>
      <c r="T17" s="1307">
        <f>Q17</f>
        <v>1838.7553952775397</v>
      </c>
      <c r="U17" s="1308" t="s">
        <v>1492</v>
      </c>
      <c r="V17" s="1282">
        <v>27</v>
      </c>
      <c r="W17" s="1257">
        <v>108</v>
      </c>
      <c r="X17" s="1257">
        <v>2912</v>
      </c>
      <c r="Y17" s="1309">
        <v>1000</v>
      </c>
      <c r="Z17" s="1309">
        <v>500</v>
      </c>
      <c r="AA17" s="1265">
        <v>2003</v>
      </c>
      <c r="AB17" s="1282">
        <v>49</v>
      </c>
      <c r="AC17" s="1257">
        <v>98</v>
      </c>
      <c r="AD17" s="1257">
        <v>4784</v>
      </c>
      <c r="AE17" s="1309">
        <v>219</v>
      </c>
      <c r="AF17" s="1309" t="s">
        <v>918</v>
      </c>
      <c r="AG17" s="1265">
        <v>241</v>
      </c>
      <c r="AH17" s="1310"/>
      <c r="AI17" s="1311"/>
      <c r="AJ17" s="1311"/>
      <c r="AK17" s="1311"/>
      <c r="AL17" s="1311"/>
      <c r="AM17" s="1311"/>
      <c r="AN17" s="1311"/>
      <c r="AO17" s="1310"/>
      <c r="AP17" s="1312"/>
      <c r="AQ17" s="1221">
        <v>75</v>
      </c>
      <c r="AR17" s="1221">
        <f t="shared" si="2"/>
        <v>5.9253333333333331E-2</v>
      </c>
      <c r="AS17" s="1221" t="s">
        <v>1476</v>
      </c>
      <c r="AT17" s="1221">
        <f>STDEV(AR16:AR26)</f>
        <v>1.7608738202695266E-2</v>
      </c>
      <c r="BF17" s="1221">
        <v>936.89</v>
      </c>
      <c r="BG17" s="1221">
        <v>1181.17</v>
      </c>
      <c r="BH17" s="1221">
        <f t="shared" ref="BH17:BH24" si="3">BG17/BF17</f>
        <v>1.2607349848968397</v>
      </c>
      <c r="BK17" s="1271">
        <v>12</v>
      </c>
      <c r="BL17" s="1267" t="s">
        <v>503</v>
      </c>
      <c r="BM17" s="1268">
        <v>1</v>
      </c>
      <c r="BN17" s="1268">
        <v>1.198</v>
      </c>
      <c r="BO17" s="1269">
        <v>3.6051475600374715E-2</v>
      </c>
      <c r="BP17" s="1269">
        <f t="shared" si="1"/>
        <v>3.6051475600374715E-2</v>
      </c>
      <c r="BQ17" s="1269">
        <f t="shared" si="0"/>
        <v>4.3189667769248909E-2</v>
      </c>
    </row>
    <row r="18" spans="1:72">
      <c r="A18" s="2480"/>
      <c r="B18" s="1313" t="s">
        <v>1493</v>
      </c>
      <c r="C18" s="1314" t="s">
        <v>1494</v>
      </c>
      <c r="D18" s="1314" t="s">
        <v>1495</v>
      </c>
      <c r="E18" s="1315"/>
      <c r="F18" s="1316"/>
      <c r="G18" s="1260">
        <f>AVERAGE(W17,AC17)*BS7</f>
        <v>71.296257089267755</v>
      </c>
      <c r="H18" s="2491"/>
      <c r="I18" s="1260"/>
      <c r="J18" s="1260"/>
      <c r="K18" s="1317">
        <v>0.27500000000000002</v>
      </c>
      <c r="L18" s="2497"/>
      <c r="M18" s="1313" t="s">
        <v>1495</v>
      </c>
      <c r="N18" s="1309"/>
      <c r="O18" s="1318">
        <f>((V17+AB17)/2)</f>
        <v>38</v>
      </c>
      <c r="P18" s="1260"/>
      <c r="Q18" s="1302">
        <f>O18*G18</f>
        <v>2709.2577693921749</v>
      </c>
      <c r="R18" s="1258">
        <f>SUM(I17:I19)</f>
        <v>1790.2345859259806</v>
      </c>
      <c r="S18" s="1259">
        <f>Z17</f>
        <v>500</v>
      </c>
      <c r="T18" s="1276">
        <f>Q18+R18</f>
        <v>4499.4923553181552</v>
      </c>
      <c r="U18" s="1319" t="s">
        <v>1496</v>
      </c>
      <c r="V18" s="1226"/>
      <c r="W18" s="1222"/>
      <c r="X18" s="1222"/>
      <c r="Y18" s="1222"/>
      <c r="Z18" s="1222"/>
      <c r="AA18" s="1222"/>
      <c r="AB18" s="1226"/>
      <c r="AC18" s="1222"/>
      <c r="AD18" s="1222"/>
      <c r="AE18" s="1222"/>
      <c r="AF18" s="1222"/>
      <c r="AG18" s="1222"/>
      <c r="AH18" s="1264"/>
      <c r="AI18" s="1309"/>
      <c r="AJ18" s="1309"/>
      <c r="AK18" s="1309"/>
      <c r="AL18" s="1320">
        <v>598.37801194433382</v>
      </c>
      <c r="AM18" s="1320">
        <v>83.262110419695929</v>
      </c>
      <c r="AN18" s="1321">
        <v>37</v>
      </c>
      <c r="AO18" s="1226"/>
      <c r="AP18" s="1253"/>
      <c r="AQ18" s="1221">
        <v>100</v>
      </c>
      <c r="AR18" s="1221">
        <f t="shared" si="2"/>
        <v>0.05</v>
      </c>
      <c r="AS18" s="1221" t="s">
        <v>1478</v>
      </c>
      <c r="AT18" s="1221">
        <f>MIN(AR16:AR26)</f>
        <v>3.8093333333333333E-2</v>
      </c>
      <c r="BF18" s="1221">
        <v>996.96</v>
      </c>
      <c r="BG18" s="1221">
        <v>1252.67</v>
      </c>
      <c r="BH18" s="1221">
        <f t="shared" si="3"/>
        <v>1.2564897287754775</v>
      </c>
      <c r="BK18" s="1271">
        <v>13</v>
      </c>
      <c r="BL18" s="1267" t="s">
        <v>504</v>
      </c>
      <c r="BM18" s="1268">
        <v>1.0009999999999999</v>
      </c>
      <c r="BN18" s="1268">
        <v>1.113</v>
      </c>
      <c r="BO18" s="1269">
        <v>2.1692994200168285E-2</v>
      </c>
      <c r="BP18" s="1269">
        <f t="shared" si="1"/>
        <v>2.1714687194368452E-2</v>
      </c>
      <c r="BQ18" s="1269">
        <f t="shared" si="0"/>
        <v>2.4144302544787302E-2</v>
      </c>
    </row>
    <row r="19" spans="1:72">
      <c r="A19" s="2480"/>
      <c r="B19" s="1313" t="s">
        <v>1497</v>
      </c>
      <c r="C19" s="1314" t="s">
        <v>1494</v>
      </c>
      <c r="D19" s="1314" t="s">
        <v>1495</v>
      </c>
      <c r="E19" s="1315"/>
      <c r="F19" s="1316"/>
      <c r="G19" s="1301"/>
      <c r="H19" s="1301"/>
      <c r="I19" s="1260">
        <f>(SUM(Y17,AA17,AE17,AG17)/2)</f>
        <v>1731.5</v>
      </c>
      <c r="J19" s="1301"/>
      <c r="K19" s="1301"/>
      <c r="L19" s="2497"/>
      <c r="M19" s="1256" t="s">
        <v>1473</v>
      </c>
      <c r="N19" s="1257"/>
      <c r="O19" s="1257">
        <f>6*3</f>
        <v>18</v>
      </c>
      <c r="P19" s="1258">
        <v>67.88</v>
      </c>
      <c r="Q19" s="1258">
        <f>O19*P19</f>
        <v>1221.8399999999999</v>
      </c>
      <c r="R19" s="1258"/>
      <c r="S19" s="1258"/>
      <c r="T19" s="1322">
        <f>Q19</f>
        <v>1221.8399999999999</v>
      </c>
      <c r="U19" s="1313" t="s">
        <v>1498</v>
      </c>
      <c r="V19" s="1226"/>
      <c r="W19" s="1222"/>
      <c r="X19" s="1222"/>
      <c r="Y19" s="1222"/>
      <c r="Z19" s="1222"/>
      <c r="AA19" s="1222"/>
      <c r="AB19" s="1226"/>
      <c r="AC19" s="1222"/>
      <c r="AD19" s="1222"/>
      <c r="AE19" s="1222"/>
      <c r="AF19" s="1222"/>
      <c r="AG19" s="1222"/>
      <c r="AH19" s="1323">
        <v>15.413378960220149</v>
      </c>
      <c r="AI19" s="1320">
        <v>1.7537874671635258</v>
      </c>
      <c r="AJ19" s="1324">
        <v>36</v>
      </c>
      <c r="AK19" s="1309"/>
      <c r="AL19" s="1318"/>
      <c r="AM19" s="1318"/>
      <c r="AN19" s="1325"/>
      <c r="AO19" s="1226"/>
      <c r="AP19" s="1253"/>
      <c r="AQ19" s="1221">
        <v>120</v>
      </c>
      <c r="AR19" s="1221">
        <f t="shared" si="2"/>
        <v>4.4441666666666671E-2</v>
      </c>
      <c r="AS19" s="1221" t="s">
        <v>1480</v>
      </c>
      <c r="AT19" s="1221">
        <f>MAX(AR16:AR26)</f>
        <v>8.8888888888888892E-2</v>
      </c>
      <c r="BF19" s="1221">
        <v>1098.1500000000001</v>
      </c>
      <c r="BG19" s="1221">
        <v>1380.68</v>
      </c>
      <c r="BH19" s="1221">
        <f t="shared" si="3"/>
        <v>1.2572781496152621</v>
      </c>
      <c r="BK19" s="1271">
        <v>14</v>
      </c>
      <c r="BL19" s="1267" t="s">
        <v>505</v>
      </c>
      <c r="BM19" s="1268">
        <v>0.94</v>
      </c>
      <c r="BN19" s="1268">
        <v>0.99199999999999999</v>
      </c>
      <c r="BO19" s="1269">
        <v>3.4945886706775404E-2</v>
      </c>
      <c r="BP19" s="1269">
        <f t="shared" si="1"/>
        <v>3.2849133504368876E-2</v>
      </c>
      <c r="BQ19" s="1269">
        <f t="shared" si="0"/>
        <v>3.4666319613121201E-2</v>
      </c>
    </row>
    <row r="20" spans="1:72">
      <c r="A20" s="2480"/>
      <c r="B20" s="1297" t="s">
        <v>1499</v>
      </c>
      <c r="C20" s="1314" t="s">
        <v>1494</v>
      </c>
      <c r="D20" s="1314" t="s">
        <v>1500</v>
      </c>
      <c r="E20" s="1326">
        <f>V35</f>
        <v>8.0043472588676003</v>
      </c>
      <c r="F20" s="1316"/>
      <c r="G20" s="1301">
        <f>G18</f>
        <v>71.296257089267755</v>
      </c>
      <c r="H20" s="1301">
        <f>G20*E20</f>
        <v>570.68000000000006</v>
      </c>
      <c r="I20" s="1301"/>
      <c r="J20" s="1301"/>
      <c r="K20" s="1301"/>
      <c r="L20" s="1301">
        <f>H20*(1+K18)</f>
        <v>727.61700000000008</v>
      </c>
      <c r="M20" s="1226"/>
      <c r="N20" s="1222"/>
      <c r="O20" s="1222"/>
      <c r="P20" s="1270"/>
      <c r="Q20" s="1270"/>
      <c r="R20" s="1270"/>
      <c r="S20" s="1270"/>
      <c r="T20" s="1327"/>
      <c r="U20" s="1313" t="s">
        <v>1501</v>
      </c>
      <c r="V20" s="1226"/>
      <c r="W20" s="1222"/>
      <c r="X20" s="1222"/>
      <c r="Y20" s="1222"/>
      <c r="Z20" s="1222"/>
      <c r="AA20" s="1222"/>
      <c r="AB20" s="1226"/>
      <c r="AC20" s="1222"/>
      <c r="AD20" s="1222"/>
      <c r="AE20" s="1222"/>
      <c r="AF20" s="1222"/>
      <c r="AG20" s="1222"/>
      <c r="AH20" s="1323">
        <v>12.64460873851313</v>
      </c>
      <c r="AI20" s="1320">
        <v>2.2565962999331441</v>
      </c>
      <c r="AJ20" s="1324">
        <v>37</v>
      </c>
      <c r="AK20" s="1309"/>
      <c r="AL20" s="1318"/>
      <c r="AM20" s="1318"/>
      <c r="AN20" s="1325"/>
      <c r="AO20" s="1226"/>
      <c r="AP20" s="1253"/>
      <c r="AQ20" s="1221">
        <v>125</v>
      </c>
      <c r="AR20" s="1221">
        <f t="shared" si="2"/>
        <v>4.2664000000000001E-2</v>
      </c>
      <c r="BF20" s="1221">
        <v>1157.6099999999999</v>
      </c>
      <c r="BG20" s="1221">
        <v>1455.52</v>
      </c>
      <c r="BH20" s="1221">
        <f t="shared" si="3"/>
        <v>1.2573491935971528</v>
      </c>
      <c r="BK20" s="1271">
        <v>15</v>
      </c>
      <c r="BL20" s="1267" t="s">
        <v>506</v>
      </c>
      <c r="BM20" s="1268">
        <v>0.94</v>
      </c>
      <c r="BN20" s="1268">
        <v>1.054</v>
      </c>
      <c r="BO20" s="1269">
        <v>4.7198852661595736E-2</v>
      </c>
      <c r="BP20" s="1269">
        <f t="shared" si="1"/>
        <v>4.436692150189999E-2</v>
      </c>
      <c r="BQ20" s="1269">
        <f t="shared" si="0"/>
        <v>4.9747590705321906E-2</v>
      </c>
    </row>
    <row r="21" spans="1:72">
      <c r="A21" s="2480"/>
      <c r="B21" s="1222"/>
      <c r="C21" s="1223"/>
      <c r="D21" s="1223"/>
      <c r="E21" s="1222"/>
      <c r="F21" s="1222"/>
      <c r="G21" s="1270"/>
      <c r="H21" s="1270"/>
      <c r="I21" s="1270"/>
      <c r="J21" s="1270"/>
      <c r="K21" s="1222"/>
      <c r="L21" s="1270"/>
      <c r="M21" s="1226"/>
      <c r="N21" s="1222"/>
      <c r="O21" s="1222"/>
      <c r="P21" s="1270"/>
      <c r="Q21" s="1270"/>
      <c r="R21" s="1270"/>
      <c r="S21" s="1270"/>
      <c r="T21" s="1270"/>
      <c r="U21" s="1319" t="s">
        <v>1502</v>
      </c>
      <c r="V21" s="1226"/>
      <c r="W21" s="1222"/>
      <c r="X21" s="1222"/>
      <c r="Y21" s="1222"/>
      <c r="Z21" s="1222"/>
      <c r="AA21" s="1222"/>
      <c r="AB21" s="1226"/>
      <c r="AC21" s="1222"/>
      <c r="AD21" s="1222"/>
      <c r="AE21" s="1222"/>
      <c r="AF21" s="1222"/>
      <c r="AG21" s="1222"/>
      <c r="AH21" s="1328"/>
      <c r="AI21" s="1318"/>
      <c r="AJ21" s="1309"/>
      <c r="AK21" s="1309"/>
      <c r="AL21" s="1320">
        <v>58.734585925980568</v>
      </c>
      <c r="AM21" s="1320">
        <v>12.720092983023894</v>
      </c>
      <c r="AN21" s="1321">
        <v>33</v>
      </c>
      <c r="AO21" s="1226"/>
      <c r="AP21" s="1253"/>
      <c r="AQ21" s="1221">
        <v>150</v>
      </c>
      <c r="AR21" s="1221">
        <f t="shared" si="2"/>
        <v>3.8093333333333333E-2</v>
      </c>
      <c r="BF21" s="1221">
        <v>1206.73</v>
      </c>
      <c r="BG21" s="1221">
        <v>1529.75</v>
      </c>
      <c r="BH21" s="1221">
        <f t="shared" si="3"/>
        <v>1.2676820829845947</v>
      </c>
      <c r="BK21" s="1271">
        <v>16</v>
      </c>
      <c r="BL21" s="1267" t="s">
        <v>507</v>
      </c>
      <c r="BM21" s="1268">
        <v>0.94</v>
      </c>
      <c r="BN21" s="1268">
        <v>1.07</v>
      </c>
      <c r="BO21" s="1269">
        <v>1.1973347318560363E-2</v>
      </c>
      <c r="BP21" s="1269">
        <f t="shared" si="1"/>
        <v>1.1254946479446741E-2</v>
      </c>
      <c r="BQ21" s="1269">
        <f t="shared" si="0"/>
        <v>1.2811481630859588E-2</v>
      </c>
    </row>
    <row r="22" spans="1:72">
      <c r="A22" s="2480"/>
      <c r="B22" s="1222"/>
      <c r="C22" s="1223"/>
      <c r="D22" s="1223"/>
      <c r="E22" s="1222"/>
      <c r="F22" s="1222"/>
      <c r="G22" s="1270"/>
      <c r="H22" s="1270"/>
      <c r="I22" s="1270"/>
      <c r="J22" s="1270"/>
      <c r="K22" s="1222"/>
      <c r="L22" s="1270"/>
      <c r="M22" s="1226"/>
      <c r="N22" s="1222"/>
      <c r="O22" s="1222"/>
      <c r="P22" s="1270"/>
      <c r="Q22" s="1270"/>
      <c r="R22" s="1270"/>
      <c r="S22" s="1270"/>
      <c r="T22" s="1270"/>
      <c r="U22" s="1319" t="s">
        <v>1503</v>
      </c>
      <c r="V22" s="1226"/>
      <c r="W22" s="1222"/>
      <c r="X22" s="1222"/>
      <c r="Y22" s="1222"/>
      <c r="Z22" s="1222"/>
      <c r="AA22" s="1222"/>
      <c r="AB22" s="1226"/>
      <c r="AC22" s="1222"/>
      <c r="AD22" s="1222"/>
      <c r="AE22" s="1222"/>
      <c r="AF22" s="1222"/>
      <c r="AG22" s="1222"/>
      <c r="AH22" s="1323">
        <v>3.2958445348017729</v>
      </c>
      <c r="AI22" s="1320">
        <v>0.48883173265428237</v>
      </c>
      <c r="AJ22" s="1324">
        <v>36</v>
      </c>
      <c r="AK22" s="1309"/>
      <c r="AL22" s="1309"/>
      <c r="AM22" s="1309"/>
      <c r="AN22" s="1325"/>
      <c r="AO22" s="1226"/>
      <c r="AP22" s="1253"/>
      <c r="AQ22" s="1221">
        <v>45</v>
      </c>
      <c r="AR22" s="1221">
        <f t="shared" si="2"/>
        <v>8.8888888888888892E-2</v>
      </c>
      <c r="BF22" s="1221">
        <v>3072.05</v>
      </c>
      <c r="BG22" s="1221">
        <v>3589.28</v>
      </c>
      <c r="BH22" s="1221">
        <f t="shared" si="3"/>
        <v>1.1683664002864538</v>
      </c>
      <c r="BK22" s="1268"/>
      <c r="BL22" s="1267" t="s">
        <v>398</v>
      </c>
      <c r="BM22" s="1268">
        <f>AVERAGE(BM6:BM21)</f>
        <v>0.97393749999999979</v>
      </c>
      <c r="BN22" s="1268">
        <f>AVERAGE(BN6:BN21)</f>
        <v>1.1906249999999998</v>
      </c>
      <c r="BO22" s="1269">
        <f>SUM(BO6:BO21)</f>
        <v>1</v>
      </c>
      <c r="BP22" s="1269">
        <f>SUM(BP6:BP21)</f>
        <v>0.98408471284970045</v>
      </c>
      <c r="BQ22" s="1269">
        <f>SUM(BQ6:BQ21)</f>
        <v>1.158045030197524</v>
      </c>
    </row>
    <row r="23" spans="1:72">
      <c r="A23" s="2480"/>
      <c r="B23" s="1222"/>
      <c r="C23" s="1223"/>
      <c r="D23" s="1223"/>
      <c r="E23" s="1222"/>
      <c r="F23" s="1222"/>
      <c r="G23" s="1270"/>
      <c r="H23" s="1270"/>
      <c r="I23" s="1270"/>
      <c r="J23" s="1270"/>
      <c r="K23" s="1222"/>
      <c r="L23" s="1270"/>
      <c r="M23" s="1226"/>
      <c r="N23" s="1222"/>
      <c r="O23" s="1222"/>
      <c r="P23" s="1270"/>
      <c r="Q23" s="1270"/>
      <c r="R23" s="1270"/>
      <c r="S23" s="1270"/>
      <c r="T23" s="1270"/>
      <c r="U23" s="1319" t="s">
        <v>1504</v>
      </c>
      <c r="V23" s="1226"/>
      <c r="W23" s="1222"/>
      <c r="X23" s="1222"/>
      <c r="Y23" s="1222"/>
      <c r="Z23" s="1222"/>
      <c r="AA23" s="1222"/>
      <c r="AB23" s="1226"/>
      <c r="AC23" s="1222"/>
      <c r="AD23" s="1222"/>
      <c r="AE23" s="1222"/>
      <c r="AF23" s="1222"/>
      <c r="AG23" s="1222"/>
      <c r="AH23" s="1226"/>
      <c r="AI23" s="1222"/>
      <c r="AJ23" s="1222"/>
      <c r="AK23" s="1222"/>
      <c r="AL23" s="1222"/>
      <c r="AM23" s="1222"/>
      <c r="AN23" s="1222"/>
      <c r="AO23" s="1282">
        <v>6.6669999999999998</v>
      </c>
      <c r="AP23" s="1283">
        <v>50.98</v>
      </c>
      <c r="AQ23" s="1221">
        <v>60</v>
      </c>
      <c r="AR23" s="1221">
        <f t="shared" si="2"/>
        <v>7.0183333333333334E-2</v>
      </c>
      <c r="BF23" s="1221">
        <v>3415.55</v>
      </c>
      <c r="BG23" s="1221">
        <v>4012.83</v>
      </c>
      <c r="BH23" s="1221">
        <f t="shared" si="3"/>
        <v>1.1748708114359325</v>
      </c>
      <c r="BK23" s="168" t="s">
        <v>508</v>
      </c>
      <c r="BL23" s="1292"/>
      <c r="BM23" s="161"/>
      <c r="BN23" s="161"/>
    </row>
    <row r="24" spans="1:72">
      <c r="A24" s="2480"/>
      <c r="B24" s="1222"/>
      <c r="C24" s="1223"/>
      <c r="D24" s="1223"/>
      <c r="E24" s="1222"/>
      <c r="F24" s="1222"/>
      <c r="G24" s="1270"/>
      <c r="H24" s="1270"/>
      <c r="I24" s="1270"/>
      <c r="J24" s="1270"/>
      <c r="K24" s="1222"/>
      <c r="L24" s="1270"/>
      <c r="M24" s="1226"/>
      <c r="N24" s="1222"/>
      <c r="O24" s="1222"/>
      <c r="P24" s="1270"/>
      <c r="Q24" s="1270"/>
      <c r="R24" s="1270"/>
      <c r="S24" s="1270"/>
      <c r="T24" s="1270"/>
      <c r="U24" s="1319" t="s">
        <v>1508</v>
      </c>
      <c r="V24" s="1226"/>
      <c r="W24" s="1222"/>
      <c r="X24" s="1222"/>
      <c r="Y24" s="1222"/>
      <c r="Z24" s="1222"/>
      <c r="AA24" s="1222"/>
      <c r="AB24" s="1226"/>
      <c r="AC24" s="1222"/>
      <c r="AD24" s="1222"/>
      <c r="AE24" s="1222"/>
      <c r="AF24" s="1222"/>
      <c r="AG24" s="1222"/>
      <c r="AH24" s="1226"/>
      <c r="AI24" s="1222"/>
      <c r="AJ24" s="1222"/>
      <c r="AK24" s="1222"/>
      <c r="AL24" s="1222"/>
      <c r="AM24" s="1222"/>
      <c r="AN24" s="1222"/>
      <c r="AO24" s="1264">
        <v>8</v>
      </c>
      <c r="AP24" s="1283">
        <v>50.98</v>
      </c>
      <c r="AQ24" s="1221">
        <v>70</v>
      </c>
      <c r="AR24" s="1221">
        <f t="shared" si="2"/>
        <v>6.3485714285714284E-2</v>
      </c>
      <c r="BF24" s="1221">
        <v>3822</v>
      </c>
      <c r="BG24" s="1221">
        <v>4484.95</v>
      </c>
      <c r="BH24" s="1221">
        <f t="shared" si="3"/>
        <v>1.1734563055991627</v>
      </c>
      <c r="BK24" s="168" t="s">
        <v>509</v>
      </c>
      <c r="BL24" s="1292"/>
      <c r="BM24" s="161"/>
      <c r="BN24" s="161"/>
    </row>
    <row r="25" spans="1:72">
      <c r="A25" s="2480"/>
      <c r="B25" s="1222"/>
      <c r="C25" s="1223"/>
      <c r="D25" s="1223"/>
      <c r="E25" s="1222"/>
      <c r="F25" s="1222"/>
      <c r="G25" s="1270"/>
      <c r="H25" s="1270"/>
      <c r="I25" s="1270"/>
      <c r="J25" s="1270"/>
      <c r="K25" s="1222"/>
      <c r="L25" s="1270"/>
      <c r="M25" s="1226"/>
      <c r="N25" s="1222"/>
      <c r="O25" s="1222"/>
      <c r="P25" s="1270"/>
      <c r="Q25" s="1270"/>
      <c r="R25" s="1270"/>
      <c r="S25" s="1270"/>
      <c r="T25" s="1270"/>
      <c r="U25" s="1319" t="s">
        <v>1509</v>
      </c>
      <c r="V25" s="1226"/>
      <c r="W25" s="1222"/>
      <c r="X25" s="1222"/>
      <c r="Y25" s="1222"/>
      <c r="Z25" s="1222"/>
      <c r="AA25" s="1222"/>
      <c r="AB25" s="1226"/>
      <c r="AC25" s="1222"/>
      <c r="AD25" s="1222"/>
      <c r="AE25" s="1222"/>
      <c r="AF25" s="1222"/>
      <c r="AG25" s="1222"/>
      <c r="AH25" s="1226"/>
      <c r="AI25" s="1222"/>
      <c r="AJ25" s="1222"/>
      <c r="AK25" s="1222"/>
      <c r="AL25" s="1222"/>
      <c r="AM25" s="1222"/>
      <c r="AN25" s="1222"/>
      <c r="AO25" s="1264">
        <v>10</v>
      </c>
      <c r="AP25" s="1283">
        <v>50.98</v>
      </c>
      <c r="AQ25" s="1221">
        <v>90</v>
      </c>
      <c r="AR25" s="1221">
        <f t="shared" si="2"/>
        <v>5.3866666666666667E-2</v>
      </c>
      <c r="BH25" s="1221">
        <f>AVERAGE(BH16:BH24)</f>
        <v>1.2298662420295932</v>
      </c>
      <c r="BK25" s="168"/>
      <c r="BL25" s="1292"/>
      <c r="BM25" s="161"/>
      <c r="BN25" s="161"/>
    </row>
    <row r="26" spans="1:72">
      <c r="A26" s="2480"/>
      <c r="B26" s="1222"/>
      <c r="C26" s="1223"/>
      <c r="D26" s="1223"/>
      <c r="E26" s="1222"/>
      <c r="F26" s="1222"/>
      <c r="G26" s="1270"/>
      <c r="H26" s="1270"/>
      <c r="I26" s="1270"/>
      <c r="J26" s="1270"/>
      <c r="K26" s="1222"/>
      <c r="L26" s="1270"/>
      <c r="M26" s="1226"/>
      <c r="N26" s="1222"/>
      <c r="O26" s="1222"/>
      <c r="P26" s="1270"/>
      <c r="Q26" s="1270"/>
      <c r="R26" s="1270"/>
      <c r="S26" s="1270"/>
      <c r="T26" s="1270"/>
      <c r="U26" s="1319" t="s">
        <v>1510</v>
      </c>
      <c r="V26" s="1226"/>
      <c r="W26" s="1222"/>
      <c r="X26" s="1222"/>
      <c r="Y26" s="1222"/>
      <c r="Z26" s="1222"/>
      <c r="AA26" s="1222"/>
      <c r="AB26" s="1226"/>
      <c r="AC26" s="1222"/>
      <c r="AD26" s="1222"/>
      <c r="AE26" s="1222"/>
      <c r="AF26" s="1222"/>
      <c r="AG26" s="1222"/>
      <c r="AH26" s="1226"/>
      <c r="AI26" s="1222"/>
      <c r="AJ26" s="1222"/>
      <c r="AK26" s="1222"/>
      <c r="AL26" s="1222"/>
      <c r="AM26" s="1222"/>
      <c r="AN26" s="1222"/>
      <c r="AO26" s="1264">
        <v>13.333299999999999</v>
      </c>
      <c r="AP26" s="1283">
        <v>50.98</v>
      </c>
      <c r="AQ26" s="1221">
        <v>110</v>
      </c>
      <c r="AR26" s="1221">
        <f t="shared" si="2"/>
        <v>4.6918181818181817E-2</v>
      </c>
    </row>
    <row r="27" spans="1:72" ht="19.5" customHeight="1">
      <c r="A27" s="2480"/>
      <c r="B27" s="1222"/>
      <c r="C27" s="1223"/>
      <c r="D27" s="1223"/>
      <c r="E27" s="1222"/>
      <c r="F27" s="1222"/>
      <c r="G27" s="1270"/>
      <c r="H27" s="1270"/>
      <c r="I27" s="1270"/>
      <c r="J27" s="1270"/>
      <c r="K27" s="1222"/>
      <c r="L27" s="1270"/>
      <c r="M27" s="1226"/>
      <c r="N27" s="1222"/>
      <c r="O27" s="1222"/>
      <c r="P27" s="1270"/>
      <c r="Q27" s="1270"/>
      <c r="R27" s="1270"/>
      <c r="S27" s="1270"/>
      <c r="T27" s="1270"/>
      <c r="U27" s="1319" t="s">
        <v>1511</v>
      </c>
      <c r="V27" s="1226"/>
      <c r="W27" s="1222"/>
      <c r="X27" s="1222"/>
      <c r="Y27" s="1222"/>
      <c r="Z27" s="1222"/>
      <c r="AA27" s="1222"/>
      <c r="AB27" s="1226"/>
      <c r="AC27" s="1222"/>
      <c r="AD27" s="1222"/>
      <c r="AE27" s="1222"/>
      <c r="AF27" s="1222"/>
      <c r="AG27" s="1222"/>
      <c r="AH27" s="1226"/>
      <c r="AI27" s="1222"/>
      <c r="AJ27" s="1222"/>
      <c r="AK27" s="1222"/>
      <c r="AL27" s="1222"/>
      <c r="AM27" s="1222"/>
      <c r="AN27" s="1222"/>
      <c r="AO27" s="1264">
        <v>16</v>
      </c>
      <c r="AP27" s="1283">
        <v>50.98</v>
      </c>
      <c r="BK27" s="164" t="s">
        <v>530</v>
      </c>
    </row>
    <row r="28" spans="1:72" ht="27.6">
      <c r="A28" s="2480"/>
      <c r="B28" s="1222"/>
      <c r="C28" s="1223"/>
      <c r="D28" s="1223"/>
      <c r="E28" s="1222"/>
      <c r="F28" s="1222"/>
      <c r="G28" s="1270"/>
      <c r="H28" s="1270"/>
      <c r="I28" s="1270"/>
      <c r="J28" s="1270"/>
      <c r="K28" s="1222"/>
      <c r="L28" s="1270"/>
      <c r="M28" s="1226"/>
      <c r="N28" s="1222"/>
      <c r="O28" s="1222"/>
      <c r="P28" s="1270"/>
      <c r="Q28" s="1270"/>
      <c r="R28" s="1270"/>
      <c r="S28" s="1270"/>
      <c r="T28" s="1270"/>
      <c r="U28" s="1319" t="s">
        <v>1512</v>
      </c>
      <c r="V28" s="1226"/>
      <c r="W28" s="1222"/>
      <c r="X28" s="1222"/>
      <c r="Y28" s="1222"/>
      <c r="Z28" s="1222"/>
      <c r="AA28" s="1222"/>
      <c r="AB28" s="1226"/>
      <c r="AC28" s="1222"/>
      <c r="AD28" s="1222"/>
      <c r="AE28" s="1222"/>
      <c r="AF28" s="1222"/>
      <c r="AG28" s="1222"/>
      <c r="AH28" s="1226"/>
      <c r="AI28" s="1222"/>
      <c r="AJ28" s="1222"/>
      <c r="AK28" s="1222"/>
      <c r="AL28" s="1222"/>
      <c r="AM28" s="1222"/>
      <c r="AN28" s="1222"/>
      <c r="AO28" s="1264">
        <v>20</v>
      </c>
      <c r="AP28" s="1283">
        <v>50.98</v>
      </c>
      <c r="BK28" s="1254" t="s">
        <v>490</v>
      </c>
      <c r="BL28" s="1254" t="s">
        <v>491</v>
      </c>
      <c r="BM28" s="154" t="s">
        <v>471</v>
      </c>
      <c r="BN28" s="154" t="s">
        <v>472</v>
      </c>
      <c r="BO28" s="1254" t="s">
        <v>473</v>
      </c>
      <c r="BP28" s="1254" t="s">
        <v>474</v>
      </c>
      <c r="BQ28" s="1254" t="s">
        <v>475</v>
      </c>
      <c r="BS28" s="95"/>
      <c r="BT28" s="95"/>
    </row>
    <row r="29" spans="1:72">
      <c r="A29" s="2480"/>
      <c r="B29" s="1222"/>
      <c r="C29" s="1223"/>
      <c r="D29" s="1223"/>
      <c r="E29" s="1222"/>
      <c r="F29" s="1222"/>
      <c r="G29" s="1270"/>
      <c r="H29" s="1270"/>
      <c r="I29" s="1270"/>
      <c r="J29" s="1270"/>
      <c r="K29" s="1222"/>
      <c r="L29" s="1270"/>
      <c r="M29" s="1226"/>
      <c r="N29" s="1222"/>
      <c r="O29" s="1222"/>
      <c r="P29" s="1270"/>
      <c r="Q29" s="1270"/>
      <c r="R29" s="1270"/>
      <c r="S29" s="1270"/>
      <c r="T29" s="1270"/>
      <c r="U29" s="1319" t="s">
        <v>1513</v>
      </c>
      <c r="V29" s="1226"/>
      <c r="W29" s="1222"/>
      <c r="X29" s="1222"/>
      <c r="Y29" s="1222"/>
      <c r="Z29" s="1222"/>
      <c r="AA29" s="1222"/>
      <c r="AB29" s="1226"/>
      <c r="AC29" s="1222"/>
      <c r="AD29" s="1222"/>
      <c r="AE29" s="1222"/>
      <c r="AF29" s="1222"/>
      <c r="AG29" s="1222"/>
      <c r="AH29" s="1226"/>
      <c r="AI29" s="1222"/>
      <c r="AJ29" s="1222"/>
      <c r="AK29" s="1222"/>
      <c r="AL29" s="1222"/>
      <c r="AM29" s="1222"/>
      <c r="AN29" s="1222"/>
      <c r="AO29" s="1264">
        <v>32</v>
      </c>
      <c r="AP29" s="1283">
        <v>50.98</v>
      </c>
      <c r="BK29" s="1266">
        <v>1</v>
      </c>
      <c r="BL29" s="1267" t="s">
        <v>492</v>
      </c>
      <c r="BM29" s="1268">
        <v>1.002</v>
      </c>
      <c r="BN29" s="1268">
        <v>1.1459999999999999</v>
      </c>
      <c r="BO29" s="1269">
        <v>5.4358915030342549E-3</v>
      </c>
      <c r="BP29" s="1269">
        <f>BM29*BO29</f>
        <v>5.4467632860403237E-3</v>
      </c>
      <c r="BQ29" s="1269">
        <f t="shared" ref="BQ29:BQ44" si="4">BN29*BO29</f>
        <v>6.2295316624772553E-3</v>
      </c>
      <c r="BS29" s="95"/>
      <c r="BT29" s="95"/>
    </row>
    <row r="30" spans="1:72">
      <c r="A30" s="2480"/>
      <c r="B30" s="1222"/>
      <c r="C30" s="1223"/>
      <c r="D30" s="1223"/>
      <c r="E30" s="1222"/>
      <c r="F30" s="1222"/>
      <c r="G30" s="1270"/>
      <c r="H30" s="1270"/>
      <c r="I30" s="1270"/>
      <c r="J30" s="1270"/>
      <c r="K30" s="1222"/>
      <c r="L30" s="1270"/>
      <c r="M30" s="1226"/>
      <c r="N30" s="1222"/>
      <c r="O30" s="1222"/>
      <c r="P30" s="1270"/>
      <c r="Q30" s="1270"/>
      <c r="R30" s="1270"/>
      <c r="S30" s="1270"/>
      <c r="T30" s="1270"/>
      <c r="U30" s="1319" t="s">
        <v>1514</v>
      </c>
      <c r="V30" s="1226"/>
      <c r="W30" s="1222"/>
      <c r="X30" s="1222"/>
      <c r="Y30" s="1222"/>
      <c r="Z30" s="1222"/>
      <c r="AA30" s="1222"/>
      <c r="AB30" s="1226"/>
      <c r="AC30" s="1222"/>
      <c r="AD30" s="1222"/>
      <c r="AE30" s="1222"/>
      <c r="AF30" s="1222"/>
      <c r="AG30" s="1222"/>
      <c r="AH30" s="1226"/>
      <c r="AI30" s="1222"/>
      <c r="AJ30" s="1222"/>
      <c r="AK30" s="1222"/>
      <c r="AL30" s="1222"/>
      <c r="AM30" s="1222"/>
      <c r="AN30" s="1222"/>
      <c r="AO30" s="1264">
        <v>12</v>
      </c>
      <c r="AP30" s="1283">
        <v>52.87</v>
      </c>
      <c r="BK30" s="1271">
        <v>2</v>
      </c>
      <c r="BL30" s="1267" t="s">
        <v>493</v>
      </c>
      <c r="BM30" s="1268">
        <v>0.96499999999999997</v>
      </c>
      <c r="BN30" s="1268">
        <v>1.1870000000000001</v>
      </c>
      <c r="BO30" s="1269">
        <v>1.3086210704557167E-2</v>
      </c>
      <c r="BP30" s="1269">
        <f t="shared" ref="BP30:BP44" si="5">BM30*BO30</f>
        <v>1.2628193329897666E-2</v>
      </c>
      <c r="BQ30" s="1269">
        <f t="shared" si="4"/>
        <v>1.5533332106309358E-2</v>
      </c>
      <c r="BS30" s="95"/>
      <c r="BT30" s="95"/>
    </row>
    <row r="31" spans="1:72">
      <c r="A31" s="2480"/>
      <c r="B31" s="1222"/>
      <c r="C31" s="1223"/>
      <c r="D31" s="1223"/>
      <c r="E31" s="1222"/>
      <c r="F31" s="1222"/>
      <c r="G31" s="1270"/>
      <c r="H31" s="1270"/>
      <c r="I31" s="1270"/>
      <c r="J31" s="1270"/>
      <c r="K31" s="1222"/>
      <c r="L31" s="1270"/>
      <c r="M31" s="1226"/>
      <c r="N31" s="1222"/>
      <c r="O31" s="1222"/>
      <c r="P31" s="1270"/>
      <c r="Q31" s="1270"/>
      <c r="R31" s="1270"/>
      <c r="S31" s="1270"/>
      <c r="T31" s="1270"/>
      <c r="U31" s="1319" t="s">
        <v>1515</v>
      </c>
      <c r="V31" s="1226"/>
      <c r="W31" s="1222"/>
      <c r="X31" s="1222"/>
      <c r="Y31" s="1222"/>
      <c r="Z31" s="1222"/>
      <c r="AA31" s="1222"/>
      <c r="AB31" s="1226"/>
      <c r="AC31" s="1222"/>
      <c r="AD31" s="1222"/>
      <c r="AE31" s="1222"/>
      <c r="AF31" s="1222"/>
      <c r="AG31" s="1222"/>
      <c r="AH31" s="1226"/>
      <c r="AI31" s="1222"/>
      <c r="AJ31" s="1222"/>
      <c r="AK31" s="1222"/>
      <c r="AL31" s="1222"/>
      <c r="AM31" s="1222"/>
      <c r="AN31" s="1222"/>
      <c r="AO31" s="1264">
        <v>15</v>
      </c>
      <c r="AP31" s="1283">
        <v>52.87</v>
      </c>
      <c r="BK31" s="1271">
        <v>3</v>
      </c>
      <c r="BL31" s="1267" t="s">
        <v>494</v>
      </c>
      <c r="BM31" s="1268">
        <v>1.0609999999999999</v>
      </c>
      <c r="BN31" s="1268">
        <v>1.571</v>
      </c>
      <c r="BO31" s="1269">
        <v>4.8610132413415927E-2</v>
      </c>
      <c r="BP31" s="1269">
        <f t="shared" si="5"/>
        <v>5.1575350490634296E-2</v>
      </c>
      <c r="BQ31" s="1269">
        <f t="shared" si="4"/>
        <v>7.6366518021476412E-2</v>
      </c>
      <c r="BS31" s="95"/>
      <c r="BT31" s="95"/>
    </row>
    <row r="32" spans="1:72">
      <c r="A32" s="2480"/>
      <c r="B32" s="1222"/>
      <c r="C32" s="1223"/>
      <c r="D32" s="1223"/>
      <c r="E32" s="1222"/>
      <c r="F32" s="1222"/>
      <c r="G32" s="1270"/>
      <c r="H32" s="1270"/>
      <c r="I32" s="1270"/>
      <c r="J32" s="1270"/>
      <c r="K32" s="1222"/>
      <c r="L32" s="1270"/>
      <c r="M32" s="1226"/>
      <c r="N32" s="1222"/>
      <c r="O32" s="1222"/>
      <c r="P32" s="1270"/>
      <c r="Q32" s="1270"/>
      <c r="R32" s="1270"/>
      <c r="S32" s="1270"/>
      <c r="T32" s="1270"/>
      <c r="U32" s="1319" t="s">
        <v>1516</v>
      </c>
      <c r="V32" s="1226"/>
      <c r="W32" s="1222"/>
      <c r="X32" s="1222"/>
      <c r="Y32" s="1222"/>
      <c r="Z32" s="1222"/>
      <c r="AA32" s="1222"/>
      <c r="AB32" s="1226"/>
      <c r="AC32" s="1222"/>
      <c r="AD32" s="1222"/>
      <c r="AE32" s="1222"/>
      <c r="AF32" s="1222"/>
      <c r="AG32" s="1222"/>
      <c r="AH32" s="1226"/>
      <c r="AI32" s="1222"/>
      <c r="AJ32" s="1222"/>
      <c r="AK32" s="1222"/>
      <c r="AL32" s="1222"/>
      <c r="AM32" s="1222"/>
      <c r="AN32" s="1222"/>
      <c r="AO32" s="1264">
        <v>17.143000000000001</v>
      </c>
      <c r="AP32" s="1283">
        <v>52.87</v>
      </c>
      <c r="BK32" s="1271">
        <v>4</v>
      </c>
      <c r="BL32" s="1267" t="s">
        <v>495</v>
      </c>
      <c r="BM32" s="1268">
        <v>1.0249999999999999</v>
      </c>
      <c r="BN32" s="1268">
        <v>1.532</v>
      </c>
      <c r="BO32" s="1269">
        <v>1.9216773067174304E-2</v>
      </c>
      <c r="BP32" s="1269">
        <f t="shared" si="5"/>
        <v>1.969719239385366E-2</v>
      </c>
      <c r="BQ32" s="1269">
        <f t="shared" si="4"/>
        <v>2.9440096338911034E-2</v>
      </c>
      <c r="BS32" s="95"/>
      <c r="BT32" s="95"/>
    </row>
    <row r="33" spans="1:72">
      <c r="A33" s="2480"/>
      <c r="B33" s="1222"/>
      <c r="C33" s="1223"/>
      <c r="D33" s="1223"/>
      <c r="E33" s="1222"/>
      <c r="F33" s="1222"/>
      <c r="G33" s="1270"/>
      <c r="H33" s="1270"/>
      <c r="I33" s="1270"/>
      <c r="J33" s="1270"/>
      <c r="K33" s="1222"/>
      <c r="L33" s="1270"/>
      <c r="M33" s="1226"/>
      <c r="N33" s="1222"/>
      <c r="O33" s="1222"/>
      <c r="P33" s="1270"/>
      <c r="Q33" s="1270"/>
      <c r="R33" s="1270"/>
      <c r="S33" s="1270"/>
      <c r="T33" s="1270"/>
      <c r="U33" s="1319" t="s">
        <v>1517</v>
      </c>
      <c r="V33" s="1226"/>
      <c r="W33" s="1222"/>
      <c r="X33" s="1222"/>
      <c r="Y33" s="1222"/>
      <c r="Z33" s="1222"/>
      <c r="AA33" s="1222"/>
      <c r="AB33" s="1226"/>
      <c r="AC33" s="1222"/>
      <c r="AD33" s="1222"/>
      <c r="AE33" s="1222"/>
      <c r="AF33" s="1222"/>
      <c r="AG33" s="1222"/>
      <c r="AH33" s="1226"/>
      <c r="AI33" s="1222"/>
      <c r="AJ33" s="1222"/>
      <c r="AK33" s="1222"/>
      <c r="AL33" s="1222"/>
      <c r="AM33" s="1222"/>
      <c r="AN33" s="1222"/>
      <c r="AO33" s="1264">
        <v>30</v>
      </c>
      <c r="AP33" s="1283">
        <v>52.87</v>
      </c>
      <c r="BK33" s="1271">
        <v>5</v>
      </c>
      <c r="BL33" s="1267" t="s">
        <v>496</v>
      </c>
      <c r="BM33" s="1268">
        <v>0.90400000000000003</v>
      </c>
      <c r="BN33" s="1268">
        <v>0.96199999999999997</v>
      </c>
      <c r="BO33" s="1269">
        <v>5.1419316162009234E-3</v>
      </c>
      <c r="BP33" s="1269">
        <f t="shared" si="5"/>
        <v>4.6483061810456347E-3</v>
      </c>
      <c r="BQ33" s="1269">
        <f t="shared" si="4"/>
        <v>4.946538214785288E-3</v>
      </c>
      <c r="BS33" s="95"/>
      <c r="BT33" s="95"/>
    </row>
    <row r="34" spans="1:72" ht="18">
      <c r="A34" s="1293"/>
      <c r="B34" s="1222"/>
      <c r="C34" s="1223"/>
      <c r="D34" s="1223"/>
      <c r="E34" s="1222"/>
      <c r="F34" s="1222"/>
      <c r="G34" s="1270"/>
      <c r="H34" s="1270"/>
      <c r="I34" s="1270"/>
      <c r="J34" s="1270"/>
      <c r="K34" s="1222"/>
      <c r="L34" s="1270"/>
      <c r="M34" s="1226"/>
      <c r="N34" s="1222"/>
      <c r="O34" s="1222"/>
      <c r="P34" s="1270"/>
      <c r="Q34" s="1270"/>
      <c r="R34" s="1270"/>
      <c r="S34" s="1270"/>
      <c r="T34" s="1270"/>
      <c r="U34" s="1319" t="s">
        <v>1518</v>
      </c>
      <c r="V34" s="1226"/>
      <c r="W34" s="1222"/>
      <c r="X34" s="1222"/>
      <c r="Y34" s="1222"/>
      <c r="Z34" s="1222"/>
      <c r="AA34" s="1222"/>
      <c r="AB34" s="1226"/>
      <c r="AC34" s="1222"/>
      <c r="AD34" s="1222"/>
      <c r="AE34" s="1222"/>
      <c r="AF34" s="1222"/>
      <c r="AG34" s="1222"/>
      <c r="AH34" s="1226"/>
      <c r="AI34" s="1222"/>
      <c r="AJ34" s="1222"/>
      <c r="AK34" s="1222"/>
      <c r="AL34" s="1222"/>
      <c r="AM34" s="1222"/>
      <c r="AN34" s="1222"/>
      <c r="AO34" s="1329">
        <v>48</v>
      </c>
      <c r="AP34" s="1330">
        <v>52.87</v>
      </c>
      <c r="AQ34" s="1221" t="s">
        <v>1505</v>
      </c>
      <c r="AR34" s="1221" t="s">
        <v>1506</v>
      </c>
      <c r="AS34" s="1221" t="s">
        <v>1507</v>
      </c>
      <c r="BK34" s="1271">
        <v>6</v>
      </c>
      <c r="BL34" s="1267" t="s">
        <v>497</v>
      </c>
      <c r="BM34" s="1268">
        <v>0.89400000000000002</v>
      </c>
      <c r="BN34" s="1268">
        <v>1.097</v>
      </c>
      <c r="BO34" s="1269">
        <v>0.13380906805776127</v>
      </c>
      <c r="BP34" s="1269">
        <f t="shared" si="5"/>
        <v>0.11962530684363858</v>
      </c>
      <c r="BQ34" s="1269">
        <f t="shared" si="4"/>
        <v>0.14678854765936411</v>
      </c>
      <c r="BS34" s="95"/>
      <c r="BT34" s="95"/>
    </row>
    <row r="35" spans="1:72" ht="18.600000000000001" thickBot="1">
      <c r="A35" s="1293"/>
      <c r="B35" s="1222"/>
      <c r="C35" s="1223"/>
      <c r="D35" s="1223"/>
      <c r="E35" s="1222"/>
      <c r="F35" s="1222"/>
      <c r="G35" s="1270"/>
      <c r="H35" s="1270"/>
      <c r="I35" s="1270"/>
      <c r="J35" s="1270"/>
      <c r="K35" s="1222"/>
      <c r="L35" s="1270"/>
      <c r="M35" s="1226"/>
      <c r="N35" s="1222"/>
      <c r="O35" s="1222"/>
      <c r="P35" s="1270"/>
      <c r="Q35" s="1270"/>
      <c r="R35" s="1270"/>
      <c r="S35" s="1270"/>
      <c r="T35" s="1270"/>
      <c r="U35" s="1331" t="s">
        <v>1519</v>
      </c>
      <c r="V35" s="1318">
        <f>X35/W35</f>
        <v>8.0043472588676003</v>
      </c>
      <c r="W35" s="1260">
        <f>G18*(1+K18)</f>
        <v>90.902727788816378</v>
      </c>
      <c r="X35" s="1309">
        <f>561*1.297</f>
        <v>727.61699999999996</v>
      </c>
      <c r="Y35" s="1222"/>
      <c r="Z35" s="1222"/>
      <c r="AA35" s="1222"/>
      <c r="AB35" s="1226"/>
      <c r="AC35" s="1222"/>
      <c r="AD35" s="1222"/>
      <c r="AE35" s="1222"/>
      <c r="AF35" s="1222"/>
      <c r="AG35" s="1222"/>
      <c r="AH35" s="1226"/>
      <c r="AI35" s="1222"/>
      <c r="AJ35" s="1222"/>
      <c r="AK35" s="1222"/>
      <c r="AL35" s="1222"/>
      <c r="AM35" s="1222"/>
      <c r="AN35" s="1222"/>
      <c r="AO35" s="1331"/>
      <c r="AQ35" s="1221">
        <v>2</v>
      </c>
      <c r="AR35" s="1221">
        <f>AO24+AO30</f>
        <v>20</v>
      </c>
      <c r="AS35" s="1221">
        <f>AR35/AQ35</f>
        <v>10</v>
      </c>
      <c r="AT35" s="1221">
        <f>((AP24*AO24)+(AP30*AO30))/AR35</f>
        <v>52.113999999999997</v>
      </c>
      <c r="BK35" s="1271">
        <v>7</v>
      </c>
      <c r="BL35" s="1267" t="s">
        <v>498</v>
      </c>
      <c r="BM35" s="1268">
        <v>0.99199999999999999</v>
      </c>
      <c r="BN35" s="1268">
        <v>0.99099999999999999</v>
      </c>
      <c r="BO35" s="1269">
        <v>3.3253226196611307E-2</v>
      </c>
      <c r="BP35" s="1269">
        <f t="shared" si="5"/>
        <v>3.2987200387038416E-2</v>
      </c>
      <c r="BQ35" s="1269">
        <f t="shared" si="4"/>
        <v>3.2953947160841802E-2</v>
      </c>
      <c r="BS35" s="95"/>
      <c r="BT35" s="95"/>
    </row>
    <row r="36" spans="1:72" ht="18.600000000000001" thickBot="1">
      <c r="A36" s="1272"/>
      <c r="B36" s="1242"/>
      <c r="C36" s="1243"/>
      <c r="D36" s="1243"/>
      <c r="E36" s="1242"/>
      <c r="F36" s="1242"/>
      <c r="G36" s="1244"/>
      <c r="H36" s="1244"/>
      <c r="I36" s="1244"/>
      <c r="J36" s="1244"/>
      <c r="K36" s="1242"/>
      <c r="L36" s="1244"/>
      <c r="M36" s="1245"/>
      <c r="N36" s="1242"/>
      <c r="O36" s="1242"/>
      <c r="P36" s="1244"/>
      <c r="Q36" s="1244"/>
      <c r="R36" s="1244"/>
      <c r="S36" s="1244"/>
      <c r="T36" s="1244"/>
      <c r="U36" s="1245"/>
      <c r="V36" s="1245"/>
      <c r="W36" s="1242"/>
      <c r="X36" s="1242"/>
      <c r="Y36" s="1242"/>
      <c r="Z36" s="1242"/>
      <c r="AA36" s="1242"/>
      <c r="AB36" s="1245"/>
      <c r="AC36" s="1242"/>
      <c r="AD36" s="1242"/>
      <c r="AE36" s="1242"/>
      <c r="AF36" s="1242"/>
      <c r="AG36" s="1242"/>
      <c r="AH36" s="1245"/>
      <c r="AI36" s="1242"/>
      <c r="AJ36" s="1242"/>
      <c r="AK36" s="1242"/>
      <c r="AL36" s="1242"/>
      <c r="AM36" s="1242"/>
      <c r="AN36" s="1242"/>
      <c r="AO36" s="1245"/>
      <c r="AP36" s="1246"/>
      <c r="AQ36" s="1221">
        <v>2.5</v>
      </c>
      <c r="AR36" s="1221">
        <f>AO25+AO31</f>
        <v>25</v>
      </c>
      <c r="AS36" s="1221">
        <f t="shared" ref="AS36:AS39" si="6">AR36/AQ36</f>
        <v>10</v>
      </c>
      <c r="AT36" s="1221">
        <f>((AP25*AO25)+(AP31*AO31))/AR36</f>
        <v>52.113999999999997</v>
      </c>
      <c r="BK36" s="1271">
        <v>8</v>
      </c>
      <c r="BL36" s="1267" t="s">
        <v>499</v>
      </c>
      <c r="BM36" s="1268">
        <v>0.96199999999999997</v>
      </c>
      <c r="BN36" s="1268">
        <v>1.03</v>
      </c>
      <c r="BO36" s="1269">
        <v>0.19238701738517686</v>
      </c>
      <c r="BP36" s="1269">
        <f t="shared" si="5"/>
        <v>0.18507631072454012</v>
      </c>
      <c r="BQ36" s="1269">
        <f t="shared" si="4"/>
        <v>0.19815862790673217</v>
      </c>
      <c r="BS36" s="95"/>
      <c r="BT36" s="95"/>
    </row>
    <row r="37" spans="1:72">
      <c r="A37" s="2479" t="s">
        <v>1087</v>
      </c>
      <c r="B37" s="1297" t="s">
        <v>1488</v>
      </c>
      <c r="C37" s="1298" t="s">
        <v>1489</v>
      </c>
      <c r="D37" s="1298" t="s">
        <v>1490</v>
      </c>
      <c r="E37" s="1299">
        <f>SUM(AH39:AH42)</f>
        <v>31.353832233535051</v>
      </c>
      <c r="F37" s="1300"/>
      <c r="G37" s="1301"/>
      <c r="H37" s="2490">
        <f>G38*E37</f>
        <v>2246.2623927998457</v>
      </c>
      <c r="I37" s="1302">
        <f>AL41</f>
        <v>58.734585925980568</v>
      </c>
      <c r="J37" s="1301">
        <f>AL38</f>
        <v>598.37801194433382</v>
      </c>
      <c r="K37" s="1303"/>
      <c r="L37" s="2497">
        <f>((E37*G38)+I37+I39)*(1+K38)</f>
        <v>5801.2461478754276</v>
      </c>
      <c r="M37" s="1256" t="s">
        <v>1433</v>
      </c>
      <c r="N37" s="1304" t="s">
        <v>1520</v>
      </c>
      <c r="O37" s="1297">
        <f>AO51+AO46</f>
        <v>10.878</v>
      </c>
      <c r="P37" s="1301">
        <f>AP43*BQ22</f>
        <v>59.037135639469774</v>
      </c>
      <c r="Q37" s="1305">
        <f>O37*P37</f>
        <v>642.2059614861522</v>
      </c>
      <c r="R37" s="1301"/>
      <c r="S37" s="1333"/>
      <c r="T37" s="1307">
        <f>Q37</f>
        <v>642.2059614861522</v>
      </c>
      <c r="U37" s="1334" t="s">
        <v>1492</v>
      </c>
      <c r="V37" s="1264">
        <v>44</v>
      </c>
      <c r="W37" s="1309">
        <v>109</v>
      </c>
      <c r="X37" s="1309">
        <v>4816</v>
      </c>
      <c r="Y37" s="1309">
        <v>1375</v>
      </c>
      <c r="Z37" s="1309">
        <v>500</v>
      </c>
      <c r="AA37" s="1325">
        <v>2655</v>
      </c>
      <c r="AB37" s="1264">
        <v>57</v>
      </c>
      <c r="AC37" s="1309">
        <v>98</v>
      </c>
      <c r="AD37" s="1309">
        <v>5574</v>
      </c>
      <c r="AE37" s="1309">
        <v>219</v>
      </c>
      <c r="AF37" s="1309" t="s">
        <v>918</v>
      </c>
      <c r="AG37" s="1265">
        <v>241</v>
      </c>
      <c r="AH37" s="1310"/>
      <c r="AI37" s="1311"/>
      <c r="AJ37" s="1311"/>
      <c r="AK37" s="1311"/>
      <c r="AL37" s="1311"/>
      <c r="AM37" s="1311"/>
      <c r="AN37" s="1311"/>
      <c r="AO37" s="1310"/>
      <c r="AP37" s="1312"/>
      <c r="AQ37" s="1221">
        <v>3</v>
      </c>
      <c r="AR37" s="1221">
        <f>AO26+AO32</f>
        <v>30.476300000000002</v>
      </c>
      <c r="AS37" s="1221">
        <f t="shared" si="6"/>
        <v>10.158766666666667</v>
      </c>
      <c r="AT37" s="1221">
        <f>((AP26*AO26)+(AP32*AO32))/AR37</f>
        <v>52.043130038751421</v>
      </c>
      <c r="BK37" s="1271">
        <v>9</v>
      </c>
      <c r="BL37" s="1267" t="s">
        <v>500</v>
      </c>
      <c r="BM37" s="1268">
        <v>0.998</v>
      </c>
      <c r="BN37" s="1268">
        <v>1.208</v>
      </c>
      <c r="BO37" s="1269">
        <v>0.16605157707638751</v>
      </c>
      <c r="BP37" s="1269">
        <f t="shared" si="5"/>
        <v>0.16571947392223474</v>
      </c>
      <c r="BQ37" s="1269">
        <f t="shared" si="4"/>
        <v>0.20059030510827611</v>
      </c>
      <c r="BS37" s="95"/>
      <c r="BT37" s="95"/>
    </row>
    <row r="38" spans="1:72">
      <c r="A38" s="2480"/>
      <c r="B38" s="1313" t="s">
        <v>1493</v>
      </c>
      <c r="C38" s="1314" t="s">
        <v>1494</v>
      </c>
      <c r="D38" s="1314" t="s">
        <v>1495</v>
      </c>
      <c r="E38" s="1315"/>
      <c r="F38" s="1316"/>
      <c r="G38" s="1260">
        <f>AVERAGE(W37,AC37)*BS7</f>
        <v>71.64235542465255</v>
      </c>
      <c r="H38" s="2491"/>
      <c r="I38" s="1259"/>
      <c r="J38" s="1260"/>
      <c r="K38" s="1317">
        <v>0.27500000000000002</v>
      </c>
      <c r="L38" s="2497"/>
      <c r="M38" s="1313" t="s">
        <v>1495</v>
      </c>
      <c r="N38" s="1309"/>
      <c r="O38" s="1318">
        <f>((V37+AB37)/2)</f>
        <v>50.5</v>
      </c>
      <c r="P38" s="1260"/>
      <c r="Q38" s="1302">
        <f>O38*G38</f>
        <v>3617.9389489449536</v>
      </c>
      <c r="R38" s="1260">
        <f>SUM(I37:I39)</f>
        <v>2303.7345859259804</v>
      </c>
      <c r="S38" s="1259">
        <f>Z37</f>
        <v>500</v>
      </c>
      <c r="T38" s="1276">
        <f>Q38+R38</f>
        <v>5921.6735348709335</v>
      </c>
      <c r="U38" s="1314" t="s">
        <v>1496</v>
      </c>
      <c r="V38" s="1226"/>
      <c r="W38" s="1222"/>
      <c r="X38" s="1222"/>
      <c r="Y38" s="1222"/>
      <c r="Z38" s="1222"/>
      <c r="AA38" s="1222"/>
      <c r="AB38" s="1226"/>
      <c r="AC38" s="1222"/>
      <c r="AD38" s="1222"/>
      <c r="AE38" s="1222"/>
      <c r="AF38" s="1222"/>
      <c r="AG38" s="1222"/>
      <c r="AH38" s="1264"/>
      <c r="AI38" s="1309"/>
      <c r="AJ38" s="1309"/>
      <c r="AK38" s="1309"/>
      <c r="AL38" s="1320">
        <v>598.37801194433382</v>
      </c>
      <c r="AM38" s="1320">
        <v>83.262110419695929</v>
      </c>
      <c r="AN38" s="1321">
        <v>37</v>
      </c>
      <c r="AO38" s="1226"/>
      <c r="AP38" s="1253"/>
      <c r="AQ38" s="1221">
        <v>4</v>
      </c>
      <c r="AR38" s="1221">
        <f>AO28+AO33</f>
        <v>50</v>
      </c>
      <c r="AS38" s="1221">
        <f t="shared" si="6"/>
        <v>12.5</v>
      </c>
      <c r="AT38" s="1221">
        <f>((AP28*AO28)+(AP33*AO33))/AR38</f>
        <v>52.113999999999997</v>
      </c>
      <c r="BK38" s="1271">
        <v>10</v>
      </c>
      <c r="BL38" s="1267" t="s">
        <v>501</v>
      </c>
      <c r="BM38" s="1268">
        <v>0.92500000000000004</v>
      </c>
      <c r="BN38" s="1268">
        <v>1.0649999999999999</v>
      </c>
      <c r="BO38" s="1269">
        <v>0.19968868648836255</v>
      </c>
      <c r="BP38" s="1269">
        <f t="shared" si="5"/>
        <v>0.18471203500173536</v>
      </c>
      <c r="BQ38" s="1269">
        <f t="shared" si="4"/>
        <v>0.2126684511101061</v>
      </c>
      <c r="BS38" s="95"/>
      <c r="BT38" s="95"/>
    </row>
    <row r="39" spans="1:72">
      <c r="A39" s="2480"/>
      <c r="B39" s="1313" t="s">
        <v>1497</v>
      </c>
      <c r="C39" s="1314" t="s">
        <v>1494</v>
      </c>
      <c r="D39" s="1314" t="s">
        <v>1495</v>
      </c>
      <c r="E39" s="1315"/>
      <c r="F39" s="1316"/>
      <c r="G39" s="1301"/>
      <c r="H39" s="1301"/>
      <c r="I39" s="1260">
        <f>(SUM(Y37,AA37,AE37,AG37)/2)</f>
        <v>2245</v>
      </c>
      <c r="J39" s="1301"/>
      <c r="K39" s="1301"/>
      <c r="L39" s="2497"/>
      <c r="M39" s="1248" t="s">
        <v>1473</v>
      </c>
      <c r="N39" s="1248"/>
      <c r="O39" s="1256">
        <f>6*3</f>
        <v>18</v>
      </c>
      <c r="P39" s="1277">
        <v>67.88</v>
      </c>
      <c r="Q39" s="1258">
        <f>O39*P39</f>
        <v>1221.8399999999999</v>
      </c>
      <c r="R39" s="1258"/>
      <c r="S39" s="1258"/>
      <c r="T39" s="1322">
        <f>Q39</f>
        <v>1221.8399999999999</v>
      </c>
      <c r="U39" s="1314" t="s">
        <v>1498</v>
      </c>
      <c r="V39" s="1226"/>
      <c r="W39" s="1222"/>
      <c r="X39" s="1222"/>
      <c r="Y39" s="1222"/>
      <c r="Z39" s="1222"/>
      <c r="AA39" s="1222"/>
      <c r="AB39" s="1226"/>
      <c r="AC39" s="1222"/>
      <c r="AD39" s="1222"/>
      <c r="AE39" s="1222"/>
      <c r="AF39" s="1222"/>
      <c r="AG39" s="1222"/>
      <c r="AH39" s="1323">
        <v>15.413378960220149</v>
      </c>
      <c r="AI39" s="1320">
        <v>1.7537874671635258</v>
      </c>
      <c r="AJ39" s="1324">
        <v>36</v>
      </c>
      <c r="AK39" s="1309"/>
      <c r="AL39" s="1318"/>
      <c r="AM39" s="1318"/>
      <c r="AN39" s="1325"/>
      <c r="AO39" s="1226"/>
      <c r="AP39" s="1253"/>
      <c r="AQ39" s="1221">
        <v>5</v>
      </c>
      <c r="AR39" s="1221">
        <f>AO29+AO34</f>
        <v>80</v>
      </c>
      <c r="AS39" s="1221">
        <f t="shared" si="6"/>
        <v>16</v>
      </c>
      <c r="AT39" s="1221">
        <f>((AP29*AO29)+(AP34*AO34))/AR39</f>
        <v>52.113999999999997</v>
      </c>
      <c r="BK39" s="1271">
        <v>11</v>
      </c>
      <c r="BL39" s="1267" t="s">
        <v>502</v>
      </c>
      <c r="BM39" s="1268">
        <v>0.997</v>
      </c>
      <c r="BN39" s="1268">
        <v>1.018</v>
      </c>
      <c r="BO39" s="1269">
        <v>1.0620418380118004E-2</v>
      </c>
      <c r="BP39" s="1269">
        <f t="shared" si="5"/>
        <v>1.058855712497765E-2</v>
      </c>
      <c r="BQ39" s="1269">
        <f t="shared" si="4"/>
        <v>1.0811585910960129E-2</v>
      </c>
      <c r="BS39" s="95"/>
      <c r="BT39" s="95"/>
    </row>
    <row r="40" spans="1:72">
      <c r="A40" s="2480"/>
      <c r="B40" s="1297" t="s">
        <v>1499</v>
      </c>
      <c r="C40" s="1314" t="s">
        <v>1494</v>
      </c>
      <c r="D40" s="1314" t="s">
        <v>1500</v>
      </c>
      <c r="E40" s="1326">
        <f>V55</f>
        <v>7.2557253571689335</v>
      </c>
      <c r="F40" s="1316"/>
      <c r="G40" s="1301">
        <f>G38</f>
        <v>71.64235542465255</v>
      </c>
      <c r="H40" s="1301">
        <f>G40*E40</f>
        <v>519.81725490196084</v>
      </c>
      <c r="I40" s="1301"/>
      <c r="J40" s="1301"/>
      <c r="K40" s="1301"/>
      <c r="L40" s="1301">
        <f>H40*(1+K38)</f>
        <v>662.76700000000005</v>
      </c>
      <c r="M40" s="1226"/>
      <c r="N40" s="1222"/>
      <c r="O40" s="1335"/>
      <c r="P40" s="1270"/>
      <c r="Q40" s="1270"/>
      <c r="R40" s="1270"/>
      <c r="S40" s="1270"/>
      <c r="T40" s="1336"/>
      <c r="U40" s="1314" t="s">
        <v>1501</v>
      </c>
      <c r="V40" s="1226"/>
      <c r="W40" s="1222"/>
      <c r="X40" s="1222"/>
      <c r="Y40" s="1222"/>
      <c r="Z40" s="1222"/>
      <c r="AA40" s="1222"/>
      <c r="AB40" s="1226"/>
      <c r="AC40" s="1222"/>
      <c r="AD40" s="1222"/>
      <c r="AE40" s="1222"/>
      <c r="AF40" s="1222"/>
      <c r="AG40" s="1222"/>
      <c r="AH40" s="1323">
        <v>12.64460873851313</v>
      </c>
      <c r="AI40" s="1320">
        <v>2.2565962999331441</v>
      </c>
      <c r="AJ40" s="1324">
        <v>37</v>
      </c>
      <c r="AK40" s="1309"/>
      <c r="AL40" s="1318"/>
      <c r="AM40" s="1318"/>
      <c r="AN40" s="1325"/>
      <c r="AO40" s="1226"/>
      <c r="AP40" s="1253"/>
      <c r="AR40" s="1221" t="s">
        <v>398</v>
      </c>
      <c r="AS40" s="1221">
        <f>AVERAGE(AS35:AS39)</f>
        <v>11.731753333333334</v>
      </c>
      <c r="AT40" s="1221">
        <f>AVERAGE(AT35:AT39)</f>
        <v>52.099826007750281</v>
      </c>
      <c r="BK40" s="1271">
        <v>12</v>
      </c>
      <c r="BL40" s="1267" t="s">
        <v>503</v>
      </c>
      <c r="BM40" s="1268">
        <v>1.012</v>
      </c>
      <c r="BN40" s="1268">
        <v>1.133</v>
      </c>
      <c r="BO40" s="1269">
        <v>3.8485081141342643E-2</v>
      </c>
      <c r="BP40" s="1269">
        <f t="shared" si="5"/>
        <v>3.8946902115038755E-2</v>
      </c>
      <c r="BQ40" s="1269">
        <f t="shared" si="4"/>
        <v>4.3603596933141218E-2</v>
      </c>
      <c r="BS40" s="95"/>
      <c r="BT40" s="95"/>
    </row>
    <row r="41" spans="1:72">
      <c r="A41" s="2480"/>
      <c r="B41" s="1226"/>
      <c r="C41" s="1223"/>
      <c r="D41" s="1223"/>
      <c r="E41" s="1222"/>
      <c r="F41" s="1222"/>
      <c r="G41" s="1270"/>
      <c r="H41" s="1270"/>
      <c r="I41" s="1270"/>
      <c r="J41" s="1270"/>
      <c r="K41" s="1222"/>
      <c r="L41" s="1336"/>
      <c r="M41" s="1226"/>
      <c r="N41" s="1222"/>
      <c r="O41" s="1222"/>
      <c r="P41" s="1270"/>
      <c r="Q41" s="1270"/>
      <c r="R41" s="1270"/>
      <c r="S41" s="1270"/>
      <c r="T41" s="1336"/>
      <c r="U41" s="1314" t="s">
        <v>1502</v>
      </c>
      <c r="V41" s="1226"/>
      <c r="W41" s="1222"/>
      <c r="X41" s="1222"/>
      <c r="Y41" s="1222"/>
      <c r="Z41" s="1222"/>
      <c r="AA41" s="1222"/>
      <c r="AB41" s="1226"/>
      <c r="AC41" s="1222"/>
      <c r="AD41" s="1222"/>
      <c r="AE41" s="1222"/>
      <c r="AF41" s="1222"/>
      <c r="AG41" s="1222"/>
      <c r="AH41" s="1328"/>
      <c r="AI41" s="1318"/>
      <c r="AJ41" s="1309"/>
      <c r="AK41" s="1309"/>
      <c r="AL41" s="1320">
        <v>58.734585925980568</v>
      </c>
      <c r="AM41" s="1320">
        <v>12.720092983023894</v>
      </c>
      <c r="AN41" s="1321">
        <v>33</v>
      </c>
      <c r="AO41" s="1226"/>
      <c r="AP41" s="1253"/>
      <c r="AR41" s="1221" t="s">
        <v>1476</v>
      </c>
      <c r="AS41" s="1221">
        <f>STDEV(AS35:AS39)</f>
        <v>2.6115301461446365</v>
      </c>
      <c r="BK41" s="1271">
        <v>13</v>
      </c>
      <c r="BL41" s="1267" t="s">
        <v>504</v>
      </c>
      <c r="BM41" s="1268">
        <v>0.91800000000000004</v>
      </c>
      <c r="BN41" s="1268">
        <v>1.0149999999999999</v>
      </c>
      <c r="BO41" s="1269">
        <v>5.5950189838138008E-2</v>
      </c>
      <c r="BP41" s="1269">
        <f t="shared" si="5"/>
        <v>5.1362274271410692E-2</v>
      </c>
      <c r="BQ41" s="1269">
        <f t="shared" si="4"/>
        <v>5.6789442685710075E-2</v>
      </c>
      <c r="BS41" s="95"/>
      <c r="BT41" s="95"/>
    </row>
    <row r="42" spans="1:72">
      <c r="A42" s="2480"/>
      <c r="B42" s="1226"/>
      <c r="C42" s="1223"/>
      <c r="D42" s="1223"/>
      <c r="E42" s="1222"/>
      <c r="F42" s="1222"/>
      <c r="G42" s="1270"/>
      <c r="H42" s="1270"/>
      <c r="I42" s="1270"/>
      <c r="J42" s="1270"/>
      <c r="K42" s="1222"/>
      <c r="L42" s="1336"/>
      <c r="M42" s="1226"/>
      <c r="N42" s="1222"/>
      <c r="O42" s="1222"/>
      <c r="P42" s="1270"/>
      <c r="Q42" s="1270"/>
      <c r="R42" s="1270"/>
      <c r="S42" s="1270"/>
      <c r="T42" s="1336"/>
      <c r="U42" s="1314" t="s">
        <v>1503</v>
      </c>
      <c r="V42" s="1226"/>
      <c r="W42" s="1222"/>
      <c r="X42" s="1222"/>
      <c r="Y42" s="1222"/>
      <c r="Z42" s="1222"/>
      <c r="AA42" s="1222"/>
      <c r="AB42" s="1226"/>
      <c r="AC42" s="1222"/>
      <c r="AD42" s="1222"/>
      <c r="AE42" s="1222"/>
      <c r="AF42" s="1222"/>
      <c r="AG42" s="1222"/>
      <c r="AH42" s="1323">
        <v>3.2958445348017729</v>
      </c>
      <c r="AI42" s="1320">
        <v>0.48883173265428237</v>
      </c>
      <c r="AJ42" s="1324">
        <v>36</v>
      </c>
      <c r="AK42" s="1309"/>
      <c r="AL42" s="1309"/>
      <c r="AM42" s="1309"/>
      <c r="AN42" s="1325"/>
      <c r="AO42" s="1226"/>
      <c r="AP42" s="1253"/>
      <c r="BK42" s="1271">
        <v>14</v>
      </c>
      <c r="BL42" s="1267" t="s">
        <v>505</v>
      </c>
      <c r="BM42" s="1268">
        <v>0.90400000000000003</v>
      </c>
      <c r="BN42" s="1268">
        <v>0.96399999999999997</v>
      </c>
      <c r="BO42" s="1269">
        <v>4.8091101271547421E-2</v>
      </c>
      <c r="BP42" s="1269">
        <f t="shared" si="5"/>
        <v>4.3474355549478871E-2</v>
      </c>
      <c r="BQ42" s="1269">
        <f t="shared" si="4"/>
        <v>4.6359821625771715E-2</v>
      </c>
      <c r="BS42" s="95"/>
      <c r="BT42" s="95"/>
    </row>
    <row r="43" spans="1:72">
      <c r="A43" s="2480"/>
      <c r="B43" s="1226"/>
      <c r="C43" s="1223"/>
      <c r="D43" s="1223"/>
      <c r="E43" s="1222"/>
      <c r="F43" s="1222"/>
      <c r="G43" s="1270"/>
      <c r="H43" s="1270"/>
      <c r="I43" s="1270"/>
      <c r="J43" s="1270"/>
      <c r="K43" s="1222"/>
      <c r="L43" s="1336"/>
      <c r="M43" s="1226"/>
      <c r="N43" s="1222"/>
      <c r="O43" s="1222"/>
      <c r="P43" s="1270"/>
      <c r="Q43" s="1270"/>
      <c r="R43" s="1270"/>
      <c r="S43" s="1270"/>
      <c r="T43" s="1336"/>
      <c r="U43" s="1314" t="s">
        <v>1522</v>
      </c>
      <c r="V43" s="1226"/>
      <c r="W43" s="1222"/>
      <c r="X43" s="1222"/>
      <c r="Y43" s="1222"/>
      <c r="Z43" s="1222"/>
      <c r="AA43" s="1222"/>
      <c r="AB43" s="1226"/>
      <c r="AC43" s="1222"/>
      <c r="AD43" s="1222"/>
      <c r="AE43" s="1222"/>
      <c r="AF43" s="1222"/>
      <c r="AG43" s="1222"/>
      <c r="AH43" s="1226"/>
      <c r="AI43" s="1222"/>
      <c r="AJ43" s="1222"/>
      <c r="AK43" s="1222"/>
      <c r="AL43" s="1222"/>
      <c r="AM43" s="1222"/>
      <c r="AN43" s="1222"/>
      <c r="AO43" s="1264">
        <v>4.2110000000000003</v>
      </c>
      <c r="AP43" s="1265">
        <v>50.98</v>
      </c>
      <c r="BK43" s="1271">
        <v>15</v>
      </c>
      <c r="BL43" s="1267" t="s">
        <v>506</v>
      </c>
      <c r="BM43" s="1268">
        <v>0.96199999999999997</v>
      </c>
      <c r="BN43" s="1268">
        <v>1.024</v>
      </c>
      <c r="BO43" s="1269">
        <v>2.5532966628453634E-2</v>
      </c>
      <c r="BP43" s="1269">
        <f t="shared" si="5"/>
        <v>2.4562713896572396E-2</v>
      </c>
      <c r="BQ43" s="1269">
        <f t="shared" si="4"/>
        <v>2.6145757827536521E-2</v>
      </c>
      <c r="BS43" s="95"/>
      <c r="BT43" s="95"/>
    </row>
    <row r="44" spans="1:72">
      <c r="A44" s="2480"/>
      <c r="B44" s="1226"/>
      <c r="C44" s="1223"/>
      <c r="D44" s="1223"/>
      <c r="E44" s="1222"/>
      <c r="F44" s="1222"/>
      <c r="G44" s="1270"/>
      <c r="H44" s="1270"/>
      <c r="I44" s="1270"/>
      <c r="J44" s="1270"/>
      <c r="K44" s="1222"/>
      <c r="L44" s="1336"/>
      <c r="M44" s="1226"/>
      <c r="N44" s="1222"/>
      <c r="O44" s="1222"/>
      <c r="P44" s="1270"/>
      <c r="Q44" s="1270"/>
      <c r="R44" s="1270"/>
      <c r="S44" s="1270"/>
      <c r="T44" s="1336"/>
      <c r="U44" s="1314" t="s">
        <v>1504</v>
      </c>
      <c r="V44" s="1310"/>
      <c r="W44" s="1311"/>
      <c r="X44" s="1311"/>
      <c r="Y44" s="1311"/>
      <c r="Z44" s="1311"/>
      <c r="AA44" s="1311"/>
      <c r="AB44" s="1310"/>
      <c r="AC44" s="1311"/>
      <c r="AD44" s="1311"/>
      <c r="AE44" s="1311"/>
      <c r="AF44" s="1311"/>
      <c r="AG44" s="1311"/>
      <c r="AH44" s="1310"/>
      <c r="AI44" s="1311"/>
      <c r="AJ44" s="1311"/>
      <c r="AK44" s="1311"/>
      <c r="AL44" s="1311"/>
      <c r="AM44" s="1311"/>
      <c r="AN44" s="1311"/>
      <c r="AO44" s="1337">
        <v>4.444</v>
      </c>
      <c r="AP44" s="1265">
        <v>50.98</v>
      </c>
      <c r="BK44" s="1271">
        <v>16</v>
      </c>
      <c r="BL44" s="1267" t="s">
        <v>507</v>
      </c>
      <c r="BM44" s="1268">
        <v>1.0009999999999999</v>
      </c>
      <c r="BN44" s="1268">
        <v>1.018</v>
      </c>
      <c r="BO44" s="1269">
        <v>4.6397282317182193E-3</v>
      </c>
      <c r="BP44" s="1269">
        <f t="shared" si="5"/>
        <v>4.6443679599499372E-3</v>
      </c>
      <c r="BQ44" s="1269">
        <f t="shared" si="4"/>
        <v>4.7232433398891474E-3</v>
      </c>
      <c r="BS44" s="95"/>
      <c r="BT44" s="95"/>
    </row>
    <row r="45" spans="1:72">
      <c r="A45" s="2480"/>
      <c r="B45" s="1226"/>
      <c r="C45" s="1223"/>
      <c r="D45" s="1223"/>
      <c r="E45" s="1222"/>
      <c r="F45" s="1222"/>
      <c r="G45" s="1270"/>
      <c r="H45" s="1270"/>
      <c r="I45" s="1270"/>
      <c r="J45" s="1270"/>
      <c r="K45" s="1222"/>
      <c r="L45" s="1336"/>
      <c r="M45" s="1226"/>
      <c r="N45" s="1222"/>
      <c r="O45" s="1222"/>
      <c r="P45" s="1270"/>
      <c r="Q45" s="1270"/>
      <c r="R45" s="1270"/>
      <c r="S45" s="1270"/>
      <c r="T45" s="1336"/>
      <c r="U45" s="1314" t="s">
        <v>1508</v>
      </c>
      <c r="V45" s="1226"/>
      <c r="W45" s="1222"/>
      <c r="X45" s="1222"/>
      <c r="Y45" s="1222"/>
      <c r="Z45" s="1222"/>
      <c r="AA45" s="1222"/>
      <c r="AB45" s="1226"/>
      <c r="AC45" s="1222"/>
      <c r="AD45" s="1222"/>
      <c r="AE45" s="1222"/>
      <c r="AF45" s="1222"/>
      <c r="AG45" s="1222"/>
      <c r="AH45" s="1226"/>
      <c r="AI45" s="1222"/>
      <c r="AJ45" s="1222"/>
      <c r="AK45" s="1222"/>
      <c r="AL45" s="1222"/>
      <c r="AM45" s="1222"/>
      <c r="AN45" s="1222"/>
      <c r="AO45" s="1264">
        <v>5</v>
      </c>
      <c r="AP45" s="1265">
        <v>50.98</v>
      </c>
      <c r="BK45" s="1268"/>
      <c r="BL45" s="1267" t="s">
        <v>398</v>
      </c>
      <c r="BM45" s="1268">
        <f>AVERAGE(BM29:BM44)</f>
        <v>0.9701249999999999</v>
      </c>
      <c r="BN45" s="1268">
        <f>AVERAGE(BN29:BN44)</f>
        <v>1.1225624999999999</v>
      </c>
      <c r="BO45" s="1269">
        <f>SUM(BO29:BO44)</f>
        <v>0.99999999999999989</v>
      </c>
      <c r="BP45" s="1269">
        <f>SUM(BP29:BP44)</f>
        <v>0.95569530347808707</v>
      </c>
      <c r="BQ45" s="1269">
        <f>SUM(BQ29:BQ44)</f>
        <v>1.1121093436122886</v>
      </c>
      <c r="BS45" s="95"/>
      <c r="BT45" s="95"/>
    </row>
    <row r="46" spans="1:72">
      <c r="A46" s="2480"/>
      <c r="B46" s="1226"/>
      <c r="C46" s="1223"/>
      <c r="D46" s="1223"/>
      <c r="E46" s="1222"/>
      <c r="F46" s="1222"/>
      <c r="G46" s="1270"/>
      <c r="H46" s="1270"/>
      <c r="I46" s="1270"/>
      <c r="J46" s="1270"/>
      <c r="K46" s="1222"/>
      <c r="L46" s="1336"/>
      <c r="M46" s="1226"/>
      <c r="N46" s="1222"/>
      <c r="O46" s="1222"/>
      <c r="P46" s="1270"/>
      <c r="Q46" s="1270"/>
      <c r="R46" s="1270"/>
      <c r="S46" s="1270"/>
      <c r="T46" s="1336"/>
      <c r="U46" s="1314" t="s">
        <v>1510</v>
      </c>
      <c r="V46" s="1226"/>
      <c r="W46" s="1222"/>
      <c r="X46" s="1222"/>
      <c r="Y46" s="1222"/>
      <c r="Z46" s="1222"/>
      <c r="AA46" s="1222"/>
      <c r="AB46" s="1226"/>
      <c r="AC46" s="1222"/>
      <c r="AD46" s="1222"/>
      <c r="AE46" s="1222"/>
      <c r="AF46" s="1222"/>
      <c r="AG46" s="1222"/>
      <c r="AH46" s="1226"/>
      <c r="AI46" s="1222"/>
      <c r="AJ46" s="1222"/>
      <c r="AK46" s="1222"/>
      <c r="AL46" s="1222"/>
      <c r="AM46" s="1222"/>
      <c r="AN46" s="1222"/>
      <c r="AO46" s="1264">
        <v>6.6669999999999998</v>
      </c>
      <c r="AP46" s="1265">
        <v>50.98</v>
      </c>
      <c r="BL46" s="1292"/>
      <c r="BM46" s="161"/>
      <c r="BN46" s="161"/>
      <c r="BS46" s="95"/>
      <c r="BT46" s="95"/>
    </row>
    <row r="47" spans="1:72" ht="9.75" customHeight="1">
      <c r="A47" s="2480"/>
      <c r="B47" s="1226"/>
      <c r="C47" s="1223"/>
      <c r="D47" s="1223"/>
      <c r="E47" s="1222"/>
      <c r="F47" s="1222"/>
      <c r="G47" s="1270"/>
      <c r="H47" s="1270"/>
      <c r="I47" s="1270"/>
      <c r="J47" s="1270"/>
      <c r="K47" s="1222"/>
      <c r="L47" s="1336"/>
      <c r="M47" s="1226"/>
      <c r="N47" s="1222"/>
      <c r="O47" s="1222"/>
      <c r="P47" s="1270"/>
      <c r="Q47" s="1270"/>
      <c r="R47" s="1270"/>
      <c r="S47" s="1270"/>
      <c r="T47" s="1336"/>
      <c r="U47" s="1314" t="s">
        <v>1513</v>
      </c>
      <c r="V47" s="1226"/>
      <c r="W47" s="1222"/>
      <c r="X47" s="1222"/>
      <c r="Y47" s="1222"/>
      <c r="Z47" s="1222"/>
      <c r="AA47" s="1222"/>
      <c r="AB47" s="1226"/>
      <c r="AC47" s="1222"/>
      <c r="AD47" s="1222"/>
      <c r="AE47" s="1222"/>
      <c r="AF47" s="1222"/>
      <c r="AG47" s="1222"/>
      <c r="AH47" s="1226"/>
      <c r="AI47" s="1222"/>
      <c r="AJ47" s="1222"/>
      <c r="AK47" s="1222"/>
      <c r="AL47" s="1222"/>
      <c r="AM47" s="1222"/>
      <c r="AN47" s="1222"/>
      <c r="AO47" s="1264">
        <v>8</v>
      </c>
      <c r="AP47" s="1265">
        <v>50.98</v>
      </c>
      <c r="BK47" s="168" t="s">
        <v>531</v>
      </c>
      <c r="BL47" s="1292"/>
      <c r="BM47" s="161"/>
      <c r="BN47" s="161"/>
      <c r="BS47" s="95"/>
      <c r="BT47" s="95"/>
    </row>
    <row r="48" spans="1:72" ht="15" customHeight="1">
      <c r="A48" s="2480"/>
      <c r="B48" s="1226"/>
      <c r="C48" s="1223"/>
      <c r="D48" s="1223"/>
      <c r="E48" s="1222"/>
      <c r="F48" s="1222"/>
      <c r="G48" s="1270"/>
      <c r="H48" s="1270"/>
      <c r="I48" s="1270"/>
      <c r="J48" s="1270"/>
      <c r="K48" s="1222"/>
      <c r="L48" s="1336"/>
      <c r="M48" s="1226"/>
      <c r="N48" s="1222"/>
      <c r="O48" s="1222"/>
      <c r="P48" s="1270"/>
      <c r="Q48" s="1270"/>
      <c r="R48" s="1270"/>
      <c r="S48" s="1270"/>
      <c r="T48" s="1336"/>
      <c r="U48" s="1314" t="s">
        <v>1523</v>
      </c>
      <c r="V48" s="1226"/>
      <c r="W48" s="1222"/>
      <c r="X48" s="1222"/>
      <c r="Y48" s="1222"/>
      <c r="Z48" s="1222"/>
      <c r="AA48" s="1222"/>
      <c r="AB48" s="1226"/>
      <c r="AC48" s="1222"/>
      <c r="AD48" s="1222"/>
      <c r="AE48" s="1222"/>
      <c r="AF48" s="1222"/>
      <c r="AG48" s="1222"/>
      <c r="AH48" s="1226"/>
      <c r="AI48" s="1222"/>
      <c r="AJ48" s="1222"/>
      <c r="AK48" s="1222"/>
      <c r="AL48" s="1222"/>
      <c r="AM48" s="1222"/>
      <c r="AN48" s="1222"/>
      <c r="AO48" s="1264">
        <v>3.2</v>
      </c>
      <c r="AP48" s="1265">
        <v>50.98</v>
      </c>
      <c r="BK48" s="168" t="s">
        <v>532</v>
      </c>
      <c r="BL48" s="1292"/>
      <c r="BM48" s="161"/>
      <c r="BN48" s="161"/>
      <c r="BS48" s="95"/>
      <c r="BT48" s="95"/>
    </row>
    <row r="49" spans="1:72" ht="15" customHeight="1">
      <c r="A49" s="2480"/>
      <c r="B49" s="1226"/>
      <c r="C49" s="1223"/>
      <c r="D49" s="1223"/>
      <c r="E49" s="1222"/>
      <c r="F49" s="1222"/>
      <c r="G49" s="1270"/>
      <c r="H49" s="1270"/>
      <c r="I49" s="1270"/>
      <c r="J49" s="1270"/>
      <c r="K49" s="1222"/>
      <c r="L49" s="1336"/>
      <c r="M49" s="1226"/>
      <c r="N49" s="1222"/>
      <c r="O49" s="1222"/>
      <c r="P49" s="1270"/>
      <c r="Q49" s="1270"/>
      <c r="R49" s="1270"/>
      <c r="S49" s="1270"/>
      <c r="T49" s="1336"/>
      <c r="U49" s="1314" t="s">
        <v>1514</v>
      </c>
      <c r="V49" s="1226"/>
      <c r="W49" s="1222"/>
      <c r="X49" s="1222"/>
      <c r="Y49" s="1222"/>
      <c r="Z49" s="1222"/>
      <c r="AA49" s="1222"/>
      <c r="AB49" s="1226"/>
      <c r="AC49" s="1222"/>
      <c r="AD49" s="1222"/>
      <c r="AE49" s="1222"/>
      <c r="AF49" s="1222"/>
      <c r="AG49" s="1222"/>
      <c r="AH49" s="1226"/>
      <c r="AI49" s="1222"/>
      <c r="AJ49" s="1222"/>
      <c r="AK49" s="1222"/>
      <c r="AL49" s="1222"/>
      <c r="AM49" s="1222"/>
      <c r="AN49" s="1222"/>
      <c r="AO49" s="1264">
        <v>3.3330000000000002</v>
      </c>
      <c r="AP49" s="1265">
        <v>50.98</v>
      </c>
      <c r="BS49" s="95"/>
      <c r="BT49" s="95"/>
    </row>
    <row r="50" spans="1:72" ht="15.75" customHeight="1">
      <c r="A50" s="2480"/>
      <c r="B50" s="1226"/>
      <c r="C50" s="1223"/>
      <c r="D50" s="1223"/>
      <c r="E50" s="1222"/>
      <c r="F50" s="1222"/>
      <c r="G50" s="1270"/>
      <c r="H50" s="1270"/>
      <c r="I50" s="1270"/>
      <c r="J50" s="1270"/>
      <c r="K50" s="1222"/>
      <c r="L50" s="1336"/>
      <c r="M50" s="1226"/>
      <c r="N50" s="1222"/>
      <c r="O50" s="1222"/>
      <c r="P50" s="1270"/>
      <c r="Q50" s="1270"/>
      <c r="R50" s="1270"/>
      <c r="S50" s="1270"/>
      <c r="T50" s="1336"/>
      <c r="U50" s="1314" t="s">
        <v>1515</v>
      </c>
      <c r="V50" s="1226"/>
      <c r="W50" s="1222"/>
      <c r="X50" s="1222"/>
      <c r="Y50" s="1222"/>
      <c r="Z50" s="1222"/>
      <c r="AA50" s="1222"/>
      <c r="AB50" s="1226"/>
      <c r="AC50" s="1222"/>
      <c r="AD50" s="1222"/>
      <c r="AE50" s="1222"/>
      <c r="AF50" s="1222"/>
      <c r="AG50" s="1222"/>
      <c r="AH50" s="1226"/>
      <c r="AI50" s="1222"/>
      <c r="AJ50" s="1222"/>
      <c r="AK50" s="1222"/>
      <c r="AL50" s="1222"/>
      <c r="AM50" s="1222"/>
      <c r="AN50" s="1222"/>
      <c r="AO50" s="1264">
        <v>3.6360000000000001</v>
      </c>
      <c r="AP50" s="1265">
        <v>50.98</v>
      </c>
      <c r="BK50" s="164" t="s">
        <v>1521</v>
      </c>
      <c r="BS50" s="95"/>
      <c r="BT50" s="95"/>
    </row>
    <row r="51" spans="1:72" ht="17.25" customHeight="1">
      <c r="A51" s="2480"/>
      <c r="B51" s="1226"/>
      <c r="C51" s="1223"/>
      <c r="D51" s="1223"/>
      <c r="E51" s="1222"/>
      <c r="F51" s="1222"/>
      <c r="G51" s="1270"/>
      <c r="H51" s="1270"/>
      <c r="I51" s="1270"/>
      <c r="J51" s="1270"/>
      <c r="K51" s="1222"/>
      <c r="L51" s="1336"/>
      <c r="M51" s="1226"/>
      <c r="N51" s="1222"/>
      <c r="O51" s="1222"/>
      <c r="P51" s="1270"/>
      <c r="Q51" s="1270"/>
      <c r="R51" s="1270"/>
      <c r="S51" s="1270"/>
      <c r="T51" s="1336"/>
      <c r="U51" s="1314" t="s">
        <v>1516</v>
      </c>
      <c r="V51" s="1226"/>
      <c r="W51" s="1222"/>
      <c r="X51" s="1222"/>
      <c r="Y51" s="1222"/>
      <c r="Z51" s="1222"/>
      <c r="AA51" s="1222"/>
      <c r="AB51" s="1226"/>
      <c r="AC51" s="1222"/>
      <c r="AD51" s="1222"/>
      <c r="AE51" s="1222"/>
      <c r="AF51" s="1222"/>
      <c r="AG51" s="1222"/>
      <c r="AH51" s="1226"/>
      <c r="AI51" s="1222"/>
      <c r="AJ51" s="1222"/>
      <c r="AK51" s="1222"/>
      <c r="AL51" s="1222"/>
      <c r="AM51" s="1222"/>
      <c r="AN51" s="1222"/>
      <c r="AO51" s="1264">
        <v>4.2110000000000003</v>
      </c>
      <c r="AP51" s="1265">
        <v>50.98</v>
      </c>
      <c r="BK51" s="1254" t="s">
        <v>490</v>
      </c>
      <c r="BL51" s="1254" t="s">
        <v>491</v>
      </c>
      <c r="BM51" s="154" t="s">
        <v>471</v>
      </c>
      <c r="BN51" s="154" t="s">
        <v>472</v>
      </c>
      <c r="BO51" s="1254" t="s">
        <v>473</v>
      </c>
      <c r="BP51" s="1254" t="s">
        <v>474</v>
      </c>
      <c r="BQ51" s="1254" t="s">
        <v>475</v>
      </c>
      <c r="BS51" s="95"/>
      <c r="BT51" s="95"/>
    </row>
    <row r="52" spans="1:72" ht="15" customHeight="1">
      <c r="A52" s="2480"/>
      <c r="B52" s="1226"/>
      <c r="C52" s="1223"/>
      <c r="D52" s="1223"/>
      <c r="E52" s="1222"/>
      <c r="F52" s="1222"/>
      <c r="G52" s="1270"/>
      <c r="H52" s="1270"/>
      <c r="I52" s="1270"/>
      <c r="J52" s="1270"/>
      <c r="K52" s="1222"/>
      <c r="L52" s="1336"/>
      <c r="M52" s="1226"/>
      <c r="N52" s="1222"/>
      <c r="O52" s="1222"/>
      <c r="P52" s="1270"/>
      <c r="Q52" s="1270"/>
      <c r="R52" s="1270"/>
      <c r="S52" s="1270"/>
      <c r="T52" s="1336"/>
      <c r="U52" s="1314" t="s">
        <v>1524</v>
      </c>
      <c r="V52" s="1226"/>
      <c r="W52" s="1222"/>
      <c r="X52" s="1222"/>
      <c r="Y52" s="1222"/>
      <c r="Z52" s="1222"/>
      <c r="AA52" s="1222"/>
      <c r="AB52" s="1226"/>
      <c r="AC52" s="1222"/>
      <c r="AD52" s="1222"/>
      <c r="AE52" s="1222"/>
      <c r="AF52" s="1222"/>
      <c r="AG52" s="1222"/>
      <c r="AH52" s="1226"/>
      <c r="AI52" s="1222"/>
      <c r="AJ52" s="1222"/>
      <c r="AK52" s="1222"/>
      <c r="AL52" s="1222"/>
      <c r="AM52" s="1222"/>
      <c r="AN52" s="1222"/>
      <c r="AO52" s="1264">
        <v>4.444</v>
      </c>
      <c r="AP52" s="1265">
        <v>50.98</v>
      </c>
      <c r="BK52" s="1266">
        <v>1</v>
      </c>
      <c r="BL52" s="1267" t="s">
        <v>492</v>
      </c>
      <c r="BM52" s="1268">
        <v>1.0409999999999999</v>
      </c>
      <c r="BN52" s="1268">
        <v>1.137</v>
      </c>
      <c r="BO52" s="1269">
        <v>1.0200478637843776E-3</v>
      </c>
      <c r="BP52" s="1269">
        <f>BM52*BO52</f>
        <v>1.061869826199537E-3</v>
      </c>
      <c r="BQ52" s="1269">
        <f t="shared" ref="BQ52:BQ67" si="7">BN52*BO52</f>
        <v>1.1597944211228374E-3</v>
      </c>
      <c r="BS52" s="95"/>
      <c r="BT52" s="95"/>
    </row>
    <row r="53" spans="1:72" ht="15" customHeight="1">
      <c r="A53" s="2480"/>
      <c r="B53" s="1226"/>
      <c r="C53" s="1223"/>
      <c r="D53" s="1223"/>
      <c r="E53" s="1222"/>
      <c r="F53" s="1222"/>
      <c r="G53" s="1270"/>
      <c r="H53" s="1270"/>
      <c r="I53" s="1270"/>
      <c r="J53" s="1270"/>
      <c r="K53" s="1222"/>
      <c r="L53" s="1336"/>
      <c r="M53" s="1226"/>
      <c r="N53" s="1222"/>
      <c r="O53" s="1222"/>
      <c r="P53" s="1270"/>
      <c r="Q53" s="1270"/>
      <c r="R53" s="1270"/>
      <c r="S53" s="1270"/>
      <c r="T53" s="1336"/>
      <c r="U53" s="1314" t="s">
        <v>1517</v>
      </c>
      <c r="V53" s="1226"/>
      <c r="W53" s="1222"/>
      <c r="X53" s="1222"/>
      <c r="Y53" s="1222"/>
      <c r="Z53" s="1222"/>
      <c r="AA53" s="1222"/>
      <c r="AB53" s="1226"/>
      <c r="AC53" s="1222"/>
      <c r="AD53" s="1222"/>
      <c r="AE53" s="1222"/>
      <c r="AF53" s="1222"/>
      <c r="AG53" s="1222"/>
      <c r="AH53" s="1226"/>
      <c r="AI53" s="1222"/>
      <c r="AJ53" s="1222"/>
      <c r="AK53" s="1222"/>
      <c r="AL53" s="1222"/>
      <c r="AM53" s="1222"/>
      <c r="AN53" s="1222"/>
      <c r="AO53" s="1264">
        <v>4.7060000000000004</v>
      </c>
      <c r="AP53" s="1265">
        <v>50.98</v>
      </c>
      <c r="AQ53" s="1221" t="s">
        <v>1505</v>
      </c>
      <c r="AR53" s="1221" t="s">
        <v>1506</v>
      </c>
      <c r="AS53" s="1221" t="s">
        <v>1507</v>
      </c>
      <c r="BK53" s="1271">
        <v>2</v>
      </c>
      <c r="BL53" s="1267" t="s">
        <v>493</v>
      </c>
      <c r="BM53" s="1268">
        <v>1.004</v>
      </c>
      <c r="BN53" s="1268">
        <v>1.335</v>
      </c>
      <c r="BO53" s="1269">
        <v>2.0812899682215859E-2</v>
      </c>
      <c r="BP53" s="1269">
        <f t="shared" ref="BP53:BP67" si="8">BM53*BO53</f>
        <v>2.0896151280944724E-2</v>
      </c>
      <c r="BQ53" s="1269">
        <f t="shared" si="7"/>
        <v>2.7785221075758173E-2</v>
      </c>
      <c r="BS53" s="95"/>
      <c r="BT53" s="95"/>
    </row>
    <row r="54" spans="1:72" ht="15" customHeight="1">
      <c r="A54" s="2480"/>
      <c r="B54" s="1226"/>
      <c r="C54" s="1223"/>
      <c r="D54" s="1223"/>
      <c r="E54" s="1222"/>
      <c r="F54" s="1222"/>
      <c r="G54" s="1270"/>
      <c r="H54" s="1270"/>
      <c r="I54" s="1270"/>
      <c r="J54" s="1270"/>
      <c r="K54" s="1222"/>
      <c r="L54" s="1336"/>
      <c r="M54" s="1226"/>
      <c r="N54" s="1222"/>
      <c r="O54" s="1222"/>
      <c r="P54" s="1270"/>
      <c r="Q54" s="1270"/>
      <c r="R54" s="1270"/>
      <c r="S54" s="1270"/>
      <c r="T54" s="1336"/>
      <c r="U54" s="1314" t="s">
        <v>1518</v>
      </c>
      <c r="V54" s="1226"/>
      <c r="W54" s="1222"/>
      <c r="X54" s="1222"/>
      <c r="Y54" s="1222"/>
      <c r="Z54" s="1222"/>
      <c r="AA54" s="1222"/>
      <c r="AB54" s="1226"/>
      <c r="AC54" s="1222"/>
      <c r="AD54" s="1222"/>
      <c r="AE54" s="1222"/>
      <c r="AF54" s="1222"/>
      <c r="AG54" s="1222"/>
      <c r="AH54" s="1226"/>
      <c r="AI54" s="1222"/>
      <c r="AJ54" s="1222"/>
      <c r="AK54" s="1222"/>
      <c r="AL54" s="1222"/>
      <c r="AM54" s="1222"/>
      <c r="AN54" s="1222"/>
      <c r="AO54" s="1329">
        <v>5.3330000000000002</v>
      </c>
      <c r="AP54" s="1338">
        <v>50.98</v>
      </c>
      <c r="AQ54" s="1221">
        <v>1.5</v>
      </c>
      <c r="AR54" s="1221">
        <f>AO44+AO48</f>
        <v>7.6440000000000001</v>
      </c>
      <c r="AS54" s="1221">
        <f>AR54/AQ54</f>
        <v>5.0960000000000001</v>
      </c>
      <c r="BK54" s="1271">
        <v>3</v>
      </c>
      <c r="BL54" s="1267" t="s">
        <v>494</v>
      </c>
      <c r="BM54" s="1268">
        <v>1.095</v>
      </c>
      <c r="BN54" s="1268">
        <v>1.381</v>
      </c>
      <c r="BO54" s="1269">
        <v>9.6688767703715331E-2</v>
      </c>
      <c r="BP54" s="1269">
        <f t="shared" si="8"/>
        <v>0.10587420063556828</v>
      </c>
      <c r="BQ54" s="1269">
        <f t="shared" si="7"/>
        <v>0.13352718819883086</v>
      </c>
      <c r="BS54" s="95"/>
      <c r="BT54" s="95"/>
    </row>
    <row r="55" spans="1:72" ht="15" customHeight="1" thickBot="1">
      <c r="A55" s="2481"/>
      <c r="B55" s="1222"/>
      <c r="C55" s="1223"/>
      <c r="D55" s="1223"/>
      <c r="E55" s="1222"/>
      <c r="F55" s="1222"/>
      <c r="G55" s="1270"/>
      <c r="H55" s="1270"/>
      <c r="I55" s="1270"/>
      <c r="J55" s="1270"/>
      <c r="K55" s="1222"/>
      <c r="L55" s="1270"/>
      <c r="M55" s="1226"/>
      <c r="N55" s="1222"/>
      <c r="O55" s="1222"/>
      <c r="P55" s="1270"/>
      <c r="Q55" s="1270"/>
      <c r="R55" s="1270"/>
      <c r="S55" s="1270"/>
      <c r="T55" s="1270"/>
      <c r="U55" s="1331" t="s">
        <v>1519</v>
      </c>
      <c r="V55" s="1318">
        <f>X55/W55</f>
        <v>7.2557253571689335</v>
      </c>
      <c r="W55" s="1260">
        <f>G38*(1+K38)</f>
        <v>91.344003166431989</v>
      </c>
      <c r="X55" s="1309">
        <f>511*1.297</f>
        <v>662.76699999999994</v>
      </c>
      <c r="Y55" s="1222"/>
      <c r="Z55" s="1222"/>
      <c r="AA55" s="1222"/>
      <c r="AB55" s="1226"/>
      <c r="AC55" s="1222"/>
      <c r="AD55" s="1222"/>
      <c r="AE55" s="1222"/>
      <c r="AF55" s="1222"/>
      <c r="AG55" s="1222"/>
      <c r="AH55" s="1226"/>
      <c r="AI55" s="1222"/>
      <c r="AJ55" s="1222"/>
      <c r="AK55" s="1222"/>
      <c r="AL55" s="1222"/>
      <c r="AM55" s="1222"/>
      <c r="AN55" s="1222"/>
      <c r="AO55" s="1331"/>
      <c r="AP55" s="1339"/>
      <c r="AQ55" s="1221">
        <v>2</v>
      </c>
      <c r="AR55" s="1221">
        <f>AO45+AO49</f>
        <v>8.3330000000000002</v>
      </c>
      <c r="AS55" s="1221">
        <f t="shared" ref="AS55:AS57" si="9">AR55/AQ55</f>
        <v>4.1665000000000001</v>
      </c>
      <c r="BK55" s="1271">
        <v>4</v>
      </c>
      <c r="BL55" s="1267" t="s">
        <v>495</v>
      </c>
      <c r="BM55" s="1268">
        <v>0.996</v>
      </c>
      <c r="BN55" s="1268">
        <v>1.389</v>
      </c>
      <c r="BO55" s="1269">
        <v>6.24975479618659E-2</v>
      </c>
      <c r="BP55" s="1269">
        <f t="shared" si="8"/>
        <v>6.2247557770018433E-2</v>
      </c>
      <c r="BQ55" s="1269">
        <f t="shared" si="7"/>
        <v>8.6809094119031732E-2</v>
      </c>
      <c r="BS55" s="95"/>
      <c r="BT55" s="95"/>
    </row>
    <row r="56" spans="1:72" ht="15" customHeight="1" thickBot="1">
      <c r="A56" s="1272"/>
      <c r="B56" s="1242"/>
      <c r="C56" s="1243"/>
      <c r="D56" s="1243"/>
      <c r="E56" s="1242"/>
      <c r="F56" s="1242"/>
      <c r="G56" s="1244"/>
      <c r="H56" s="1244"/>
      <c r="I56" s="1244"/>
      <c r="J56" s="1244"/>
      <c r="K56" s="1242"/>
      <c r="L56" s="1244"/>
      <c r="M56" s="1245"/>
      <c r="N56" s="1242"/>
      <c r="O56" s="1242"/>
      <c r="P56" s="1244"/>
      <c r="Q56" s="1244"/>
      <c r="R56" s="1244"/>
      <c r="S56" s="1244"/>
      <c r="T56" s="1244"/>
      <c r="U56" s="1245"/>
      <c r="V56" s="1245"/>
      <c r="W56" s="1242"/>
      <c r="X56" s="1242"/>
      <c r="Y56" s="1242"/>
      <c r="Z56" s="1242"/>
      <c r="AA56" s="1242"/>
      <c r="AB56" s="1245"/>
      <c r="AC56" s="1242"/>
      <c r="AD56" s="1242"/>
      <c r="AE56" s="1242"/>
      <c r="AF56" s="1242"/>
      <c r="AG56" s="1242"/>
      <c r="AH56" s="1245"/>
      <c r="AI56" s="1242"/>
      <c r="AJ56" s="1242"/>
      <c r="AK56" s="1242"/>
      <c r="AL56" s="1242"/>
      <c r="AM56" s="1242"/>
      <c r="AN56" s="1242"/>
      <c r="AO56" s="1245"/>
      <c r="AP56" s="1246"/>
      <c r="AQ56" s="1221">
        <v>3</v>
      </c>
      <c r="AR56" s="1221">
        <f>AO46+AO51</f>
        <v>10.878</v>
      </c>
      <c r="AS56" s="1221">
        <f t="shared" si="9"/>
        <v>3.6259999999999999</v>
      </c>
      <c r="BK56" s="1271">
        <v>5</v>
      </c>
      <c r="BL56" s="1267" t="s">
        <v>496</v>
      </c>
      <c r="BM56" s="1268">
        <v>1.0089999999999999</v>
      </c>
      <c r="BN56" s="1268">
        <v>1.141</v>
      </c>
      <c r="BO56" s="1269">
        <v>1.314292439876025E-3</v>
      </c>
      <c r="BP56" s="1269">
        <f t="shared" si="8"/>
        <v>1.3261210718349091E-3</v>
      </c>
      <c r="BQ56" s="1269">
        <f t="shared" si="7"/>
        <v>1.4996076738985446E-3</v>
      </c>
    </row>
    <row r="57" spans="1:72" ht="15" customHeight="1">
      <c r="A57" s="2479" t="s">
        <v>1112</v>
      </c>
      <c r="B57" s="1273" t="s">
        <v>240</v>
      </c>
      <c r="C57" s="1255" t="s">
        <v>1494</v>
      </c>
      <c r="D57" s="1255" t="s">
        <v>1527</v>
      </c>
      <c r="E57" s="1274">
        <f>V66</f>
        <v>2.59375</v>
      </c>
      <c r="F57" s="1340"/>
      <c r="G57" s="1258">
        <f>$AP$57*$BQ$22</f>
        <v>56.582080175451026</v>
      </c>
      <c r="H57" s="1258">
        <f>G57*E57</f>
        <v>146.75977045507611</v>
      </c>
      <c r="I57" s="1260"/>
      <c r="J57" s="1259"/>
      <c r="K57" s="1341">
        <v>0.18</v>
      </c>
      <c r="L57" s="1276">
        <f>(E57*G57)*(1+K57)</f>
        <v>173.17652913698979</v>
      </c>
      <c r="M57" s="1255" t="s">
        <v>1433</v>
      </c>
      <c r="N57" s="1268" t="s">
        <v>1528</v>
      </c>
      <c r="O57" s="1274">
        <f>$AT$75</f>
        <v>12.905333333333335</v>
      </c>
      <c r="P57" s="1258">
        <f>$AP$57*$BQ$22</f>
        <v>56.582080175451026</v>
      </c>
      <c r="Q57" s="1258">
        <f>P57*O57</f>
        <v>730.21060535758738</v>
      </c>
      <c r="R57" s="1260"/>
      <c r="S57" s="1259"/>
      <c r="T57" s="1259">
        <f>Q57</f>
        <v>730.21060535758738</v>
      </c>
      <c r="U57" s="1314" t="s">
        <v>1529</v>
      </c>
      <c r="V57" s="1226"/>
      <c r="W57" s="1222"/>
      <c r="X57" s="1222"/>
      <c r="Y57" s="1222"/>
      <c r="Z57" s="1222"/>
      <c r="AA57" s="1222"/>
      <c r="AB57" s="1226"/>
      <c r="AC57" s="1222"/>
      <c r="AD57" s="1222"/>
      <c r="AE57" s="1222"/>
      <c r="AF57" s="1222"/>
      <c r="AG57" s="1222"/>
      <c r="AH57" s="1226"/>
      <c r="AI57" s="1222"/>
      <c r="AJ57" s="1222"/>
      <c r="AK57" s="1222"/>
      <c r="AL57" s="1222"/>
      <c r="AM57" s="1222"/>
      <c r="AN57" s="1222"/>
      <c r="AO57" s="1342">
        <v>3.125</v>
      </c>
      <c r="AP57" s="1343">
        <v>48.86</v>
      </c>
      <c r="AQ57" s="1221">
        <v>5</v>
      </c>
      <c r="AR57" s="1221">
        <f>AO47+AO54</f>
        <v>13.333</v>
      </c>
      <c r="AS57" s="1221">
        <f t="shared" si="9"/>
        <v>2.6665999999999999</v>
      </c>
      <c r="BK57" s="1271">
        <v>6</v>
      </c>
      <c r="BL57" s="1267" t="s">
        <v>497</v>
      </c>
      <c r="BM57" s="1268">
        <v>1.002</v>
      </c>
      <c r="BN57" s="1268">
        <v>1.17</v>
      </c>
      <c r="BO57" s="1269">
        <v>7.2403782023618038E-2</v>
      </c>
      <c r="BP57" s="1269">
        <f t="shared" si="8"/>
        <v>7.2548589587665274E-2</v>
      </c>
      <c r="BQ57" s="1269">
        <f t="shared" si="7"/>
        <v>8.4712424967633093E-2</v>
      </c>
    </row>
    <row r="58" spans="1:72" ht="15" customHeight="1">
      <c r="A58" s="2480"/>
      <c r="B58" s="1222"/>
      <c r="C58" s="1223"/>
      <c r="D58" s="1223"/>
      <c r="E58" s="1222"/>
      <c r="F58" s="1222"/>
      <c r="G58" s="1270"/>
      <c r="H58" s="1270"/>
      <c r="I58" s="1270"/>
      <c r="J58" s="1270"/>
      <c r="K58" s="1222"/>
      <c r="L58" s="1270"/>
      <c r="M58" s="1255" t="s">
        <v>1433</v>
      </c>
      <c r="N58" s="1268" t="s">
        <v>1530</v>
      </c>
      <c r="O58" s="1274">
        <f>$AT$77</f>
        <v>8.9728333333333339</v>
      </c>
      <c r="P58" s="1258">
        <f>$AP$57*$BQ$22</f>
        <v>56.582080175451026</v>
      </c>
      <c r="Q58" s="1258">
        <f>P58*O58</f>
        <v>507.70157506762615</v>
      </c>
      <c r="R58" s="1260"/>
      <c r="S58" s="1259"/>
      <c r="T58" s="1259">
        <f>Q58</f>
        <v>507.70157506762615</v>
      </c>
      <c r="U58" s="1314" t="s">
        <v>1531</v>
      </c>
      <c r="V58" s="1226"/>
      <c r="W58" s="1222"/>
      <c r="X58" s="1222"/>
      <c r="Y58" s="1222"/>
      <c r="Z58" s="1222"/>
      <c r="AA58" s="1222"/>
      <c r="AB58" s="1226"/>
      <c r="AC58" s="1222"/>
      <c r="AD58" s="1222"/>
      <c r="AE58" s="1222"/>
      <c r="AF58" s="1222"/>
      <c r="AG58" s="1222"/>
      <c r="AH58" s="1226"/>
      <c r="AI58" s="1222"/>
      <c r="AJ58" s="1222"/>
      <c r="AK58" s="1222"/>
      <c r="AL58" s="1222"/>
      <c r="AM58" s="1222"/>
      <c r="AN58" s="1222"/>
      <c r="AO58" s="1344">
        <v>3.448</v>
      </c>
      <c r="AP58" s="1345">
        <v>48.86</v>
      </c>
      <c r="BK58" s="1271">
        <v>7</v>
      </c>
      <c r="BL58" s="1267" t="s">
        <v>498</v>
      </c>
      <c r="BM58" s="1268">
        <v>1.012</v>
      </c>
      <c r="BN58" s="1268">
        <v>1.048</v>
      </c>
      <c r="BO58" s="1269">
        <v>5.4709874847973634E-2</v>
      </c>
      <c r="BP58" s="1269">
        <f t="shared" si="8"/>
        <v>5.5366393346149317E-2</v>
      </c>
      <c r="BQ58" s="1269">
        <f t="shared" si="7"/>
        <v>5.7335948840676373E-2</v>
      </c>
    </row>
    <row r="59" spans="1:72" ht="15" customHeight="1">
      <c r="A59" s="2480"/>
      <c r="B59" s="1222"/>
      <c r="C59" s="1223"/>
      <c r="D59" s="1223"/>
      <c r="E59" s="1222"/>
      <c r="F59" s="1222"/>
      <c r="G59" s="1270"/>
      <c r="H59" s="1270"/>
      <c r="I59" s="1270"/>
      <c r="J59" s="1270"/>
      <c r="K59" s="1222"/>
      <c r="L59" s="1270"/>
      <c r="M59" s="1285" t="s">
        <v>1533</v>
      </c>
      <c r="N59" s="1222"/>
      <c r="O59" s="1222"/>
      <c r="P59" s="1270"/>
      <c r="Q59" s="1270"/>
      <c r="R59" s="1270"/>
      <c r="S59" s="1270"/>
      <c r="T59" s="1270"/>
      <c r="U59" s="1314" t="s">
        <v>1534</v>
      </c>
      <c r="V59" s="1226"/>
      <c r="W59" s="1222"/>
      <c r="X59" s="1222"/>
      <c r="Y59" s="1222"/>
      <c r="Z59" s="1222"/>
      <c r="AA59" s="1222"/>
      <c r="AB59" s="1226"/>
      <c r="AC59" s="1222"/>
      <c r="AD59" s="1222"/>
      <c r="AE59" s="1222"/>
      <c r="AF59" s="1222"/>
      <c r="AG59" s="1222"/>
      <c r="AH59" s="1226"/>
      <c r="AI59" s="1222"/>
      <c r="AJ59" s="1222"/>
      <c r="AK59" s="1222"/>
      <c r="AL59" s="1222"/>
      <c r="AM59" s="1222"/>
      <c r="AN59" s="1222"/>
      <c r="AO59" s="1344">
        <v>4.1669999999999998</v>
      </c>
      <c r="AP59" s="1345">
        <v>48.86</v>
      </c>
      <c r="BK59" s="1271">
        <v>8</v>
      </c>
      <c r="BL59" s="1267" t="s">
        <v>499</v>
      </c>
      <c r="BM59" s="1268">
        <v>1</v>
      </c>
      <c r="BN59" s="1268">
        <v>1.175</v>
      </c>
      <c r="BO59" s="1269">
        <v>0.11244066067715486</v>
      </c>
      <c r="BP59" s="1269">
        <f t="shared" si="8"/>
        <v>0.11244066067715486</v>
      </c>
      <c r="BQ59" s="1269">
        <f t="shared" si="7"/>
        <v>0.13211777629565696</v>
      </c>
    </row>
    <row r="60" spans="1:72" ht="15" customHeight="1">
      <c r="A60" s="2480"/>
      <c r="B60" s="1222"/>
      <c r="C60" s="1223"/>
      <c r="D60" s="1223"/>
      <c r="E60" s="1222"/>
      <c r="F60" s="1222"/>
      <c r="G60" s="1270"/>
      <c r="H60" s="1270"/>
      <c r="I60" s="1270"/>
      <c r="J60" s="1270"/>
      <c r="K60" s="1222"/>
      <c r="L60" s="1270"/>
      <c r="M60" s="1226"/>
      <c r="N60" s="1222"/>
      <c r="O60" s="1222"/>
      <c r="P60" s="1270"/>
      <c r="Q60" s="1270"/>
      <c r="R60" s="1270"/>
      <c r="S60" s="1270"/>
      <c r="T60" s="1270"/>
      <c r="U60" s="1314" t="s">
        <v>1536</v>
      </c>
      <c r="V60" s="1226"/>
      <c r="W60" s="1222"/>
      <c r="X60" s="1222"/>
      <c r="Y60" s="1222"/>
      <c r="Z60" s="1222"/>
      <c r="AA60" s="1222"/>
      <c r="AB60" s="1226"/>
      <c r="AC60" s="1222"/>
      <c r="AD60" s="1222"/>
      <c r="AE60" s="1222"/>
      <c r="AF60" s="1222"/>
      <c r="AG60" s="1222"/>
      <c r="AH60" s="1226"/>
      <c r="AI60" s="1222"/>
      <c r="AJ60" s="1222"/>
      <c r="AK60" s="1222"/>
      <c r="AL60" s="1222"/>
      <c r="AM60" s="1222"/>
      <c r="AN60" s="1222"/>
      <c r="AO60" s="1344">
        <v>4.5449999999999999</v>
      </c>
      <c r="AP60" s="1345">
        <v>48.86</v>
      </c>
      <c r="BK60" s="1271">
        <v>9</v>
      </c>
      <c r="BL60" s="1267" t="s">
        <v>500</v>
      </c>
      <c r="BM60" s="1268">
        <v>1.022</v>
      </c>
      <c r="BN60" s="1268">
        <v>1.212</v>
      </c>
      <c r="BO60" s="1269">
        <v>0.17515398799482129</v>
      </c>
      <c r="BP60" s="1269">
        <f t="shared" si="8"/>
        <v>0.17900737573070735</v>
      </c>
      <c r="BQ60" s="1269">
        <f t="shared" si="7"/>
        <v>0.2122866334497234</v>
      </c>
    </row>
    <row r="61" spans="1:72" ht="15" customHeight="1">
      <c r="A61" s="2480"/>
      <c r="B61" s="1222"/>
      <c r="C61" s="1223"/>
      <c r="D61" s="1223"/>
      <c r="E61" s="1222"/>
      <c r="F61" s="1222"/>
      <c r="G61" s="1270"/>
      <c r="H61" s="1270"/>
      <c r="I61" s="1270"/>
      <c r="J61" s="1270"/>
      <c r="K61" s="1222"/>
      <c r="L61" s="1270"/>
      <c r="M61" s="1226"/>
      <c r="N61" s="1222"/>
      <c r="O61" s="1222"/>
      <c r="P61" s="1270"/>
      <c r="Q61" s="1270"/>
      <c r="R61" s="1270"/>
      <c r="S61" s="1270"/>
      <c r="T61" s="1270"/>
      <c r="U61" s="1314" t="s">
        <v>1537</v>
      </c>
      <c r="V61" s="1226"/>
      <c r="W61" s="1222"/>
      <c r="X61" s="1222"/>
      <c r="Y61" s="1222"/>
      <c r="Z61" s="1222"/>
      <c r="AA61" s="1222"/>
      <c r="AB61" s="1226"/>
      <c r="AC61" s="1222"/>
      <c r="AD61" s="1222"/>
      <c r="AE61" s="1222"/>
      <c r="AF61" s="1222"/>
      <c r="AG61" s="1222"/>
      <c r="AH61" s="1226"/>
      <c r="AI61" s="1222"/>
      <c r="AJ61" s="1222"/>
      <c r="AK61" s="1222"/>
      <c r="AL61" s="1222"/>
      <c r="AM61" s="1222"/>
      <c r="AN61" s="1222"/>
      <c r="AO61" s="1344">
        <v>6.6669999999999998</v>
      </c>
      <c r="AP61" s="1345">
        <v>48.86</v>
      </c>
      <c r="BK61" s="1271">
        <v>10</v>
      </c>
      <c r="BL61" s="1267" t="s">
        <v>501</v>
      </c>
      <c r="BM61" s="1268">
        <v>1.002</v>
      </c>
      <c r="BN61" s="1268">
        <v>1.212</v>
      </c>
      <c r="BO61" s="1269">
        <v>0.15571422966769979</v>
      </c>
      <c r="BP61" s="1269">
        <f t="shared" si="8"/>
        <v>0.1560256581270352</v>
      </c>
      <c r="BQ61" s="1269">
        <f t="shared" si="7"/>
        <v>0.18872564635725214</v>
      </c>
    </row>
    <row r="62" spans="1:72" ht="15" customHeight="1">
      <c r="A62" s="2480"/>
      <c r="B62" s="1222"/>
      <c r="C62" s="1223"/>
      <c r="D62" s="1223"/>
      <c r="E62" s="1222"/>
      <c r="F62" s="1222"/>
      <c r="G62" s="1270"/>
      <c r="H62" s="1270"/>
      <c r="I62" s="1270"/>
      <c r="J62" s="1270"/>
      <c r="K62" s="1222"/>
      <c r="L62" s="1270"/>
      <c r="M62" s="1226"/>
      <c r="N62" s="1222"/>
      <c r="O62" s="1222"/>
      <c r="P62" s="1270"/>
      <c r="Q62" s="1270"/>
      <c r="R62" s="1270"/>
      <c r="S62" s="1270"/>
      <c r="T62" s="1270"/>
      <c r="U62" s="1314" t="s">
        <v>1538</v>
      </c>
      <c r="V62" s="1226"/>
      <c r="W62" s="1222"/>
      <c r="X62" s="1222"/>
      <c r="Y62" s="1222"/>
      <c r="Z62" s="1222"/>
      <c r="AA62" s="1222"/>
      <c r="AB62" s="1226"/>
      <c r="AC62" s="1222"/>
      <c r="AD62" s="1222"/>
      <c r="AE62" s="1222"/>
      <c r="AF62" s="1222"/>
      <c r="AG62" s="1222"/>
      <c r="AH62" s="1226"/>
      <c r="AI62" s="1222"/>
      <c r="AJ62" s="1222"/>
      <c r="AK62" s="1222"/>
      <c r="AL62" s="1222"/>
      <c r="AM62" s="1222"/>
      <c r="AN62" s="1222"/>
      <c r="AO62" s="1344">
        <v>3.3330000000000002</v>
      </c>
      <c r="AP62" s="1345">
        <v>48.86</v>
      </c>
      <c r="BK62" s="1271">
        <v>11</v>
      </c>
      <c r="BL62" s="1267" t="s">
        <v>502</v>
      </c>
      <c r="BM62" s="1268">
        <v>1.036</v>
      </c>
      <c r="BN62" s="1268">
        <v>1.157</v>
      </c>
      <c r="BO62" s="1269">
        <v>3.7545607909294204E-2</v>
      </c>
      <c r="BP62" s="1269">
        <f t="shared" si="8"/>
        <v>3.8897249794028796E-2</v>
      </c>
      <c r="BQ62" s="1269">
        <f t="shared" si="7"/>
        <v>4.3440268351053392E-2</v>
      </c>
    </row>
    <row r="63" spans="1:72" ht="15" customHeight="1">
      <c r="A63" s="2480"/>
      <c r="B63" s="1222"/>
      <c r="C63" s="1223"/>
      <c r="D63" s="1223"/>
      <c r="E63" s="1222"/>
      <c r="F63" s="1222"/>
      <c r="G63" s="1270"/>
      <c r="H63" s="1270"/>
      <c r="I63" s="1270"/>
      <c r="J63" s="1270"/>
      <c r="K63" s="1222"/>
      <c r="L63" s="1270"/>
      <c r="M63" s="1226"/>
      <c r="N63" s="1222"/>
      <c r="O63" s="1222"/>
      <c r="P63" s="1270"/>
      <c r="Q63" s="1270"/>
      <c r="R63" s="1270"/>
      <c r="S63" s="1270"/>
      <c r="T63" s="1270"/>
      <c r="U63" s="1314" t="s">
        <v>1539</v>
      </c>
      <c r="V63" s="1226"/>
      <c r="W63" s="1222"/>
      <c r="X63" s="1222"/>
      <c r="Y63" s="1222"/>
      <c r="Z63" s="1222"/>
      <c r="AA63" s="1222"/>
      <c r="AB63" s="1226"/>
      <c r="AC63" s="1222"/>
      <c r="AD63" s="1222"/>
      <c r="AE63" s="1222"/>
      <c r="AF63" s="1222"/>
      <c r="AG63" s="1222"/>
      <c r="AH63" s="1226"/>
      <c r="AI63" s="1222"/>
      <c r="AJ63" s="1222"/>
      <c r="AK63" s="1222"/>
      <c r="AL63" s="1222"/>
      <c r="AM63" s="1222"/>
      <c r="AN63" s="1222"/>
      <c r="AO63" s="1344">
        <v>4</v>
      </c>
      <c r="AP63" s="1345">
        <v>48.86</v>
      </c>
      <c r="BK63" s="1271">
        <v>12</v>
      </c>
      <c r="BL63" s="1267" t="s">
        <v>503</v>
      </c>
      <c r="BM63" s="1268">
        <v>1.163</v>
      </c>
      <c r="BN63" s="1268">
        <v>1.2250000000000001</v>
      </c>
      <c r="BO63" s="1269">
        <v>0.10265212444583938</v>
      </c>
      <c r="BP63" s="1269">
        <f t="shared" si="8"/>
        <v>0.1193844207305112</v>
      </c>
      <c r="BQ63" s="1269">
        <f t="shared" si="7"/>
        <v>0.12574885244615325</v>
      </c>
    </row>
    <row r="64" spans="1:72" ht="15" customHeight="1">
      <c r="A64" s="2480"/>
      <c r="B64" s="1222"/>
      <c r="C64" s="1223"/>
      <c r="D64" s="1223"/>
      <c r="E64" s="1222"/>
      <c r="F64" s="1222"/>
      <c r="G64" s="1270"/>
      <c r="H64" s="1270"/>
      <c r="I64" s="1270"/>
      <c r="J64" s="1270"/>
      <c r="K64" s="1222"/>
      <c r="L64" s="1270"/>
      <c r="M64" s="1226"/>
      <c r="N64" s="1222"/>
      <c r="O64" s="1222"/>
      <c r="P64" s="1270"/>
      <c r="Q64" s="1270"/>
      <c r="R64" s="1270"/>
      <c r="S64" s="1270"/>
      <c r="T64" s="1270"/>
      <c r="U64" s="1314" t="s">
        <v>1540</v>
      </c>
      <c r="V64" s="1226"/>
      <c r="W64" s="1222"/>
      <c r="X64" s="1222"/>
      <c r="Y64" s="1222"/>
      <c r="Z64" s="1222"/>
      <c r="AA64" s="1222"/>
      <c r="AB64" s="1226"/>
      <c r="AC64" s="1222"/>
      <c r="AD64" s="1222"/>
      <c r="AE64" s="1222"/>
      <c r="AF64" s="1222"/>
      <c r="AG64" s="1222"/>
      <c r="AH64" s="1226"/>
      <c r="AI64" s="1222"/>
      <c r="AJ64" s="1222"/>
      <c r="AK64" s="1222"/>
      <c r="AL64" s="1222"/>
      <c r="AM64" s="1222"/>
      <c r="AN64" s="1222"/>
      <c r="AO64" s="1344">
        <v>4.3479999999999999</v>
      </c>
      <c r="AP64" s="1345">
        <v>48.86</v>
      </c>
      <c r="BK64" s="1271">
        <v>13</v>
      </c>
      <c r="BL64" s="1267" t="s">
        <v>504</v>
      </c>
      <c r="BM64" s="1268">
        <v>0.93899999999999995</v>
      </c>
      <c r="BN64" s="1268">
        <v>1.1479999999999999</v>
      </c>
      <c r="BO64" s="1269">
        <v>4.1939660245596137E-2</v>
      </c>
      <c r="BP64" s="1269">
        <f t="shared" si="8"/>
        <v>3.938134097061477E-2</v>
      </c>
      <c r="BQ64" s="1269">
        <f t="shared" si="7"/>
        <v>4.8146729961944364E-2</v>
      </c>
    </row>
    <row r="65" spans="1:69" ht="19.5" customHeight="1">
      <c r="A65" s="2480"/>
      <c r="B65" s="1222"/>
      <c r="C65" s="1223"/>
      <c r="D65" s="1223"/>
      <c r="E65" s="1222"/>
      <c r="F65" s="1222"/>
      <c r="G65" s="1270"/>
      <c r="H65" s="1270"/>
      <c r="I65" s="1270"/>
      <c r="J65" s="1270"/>
      <c r="K65" s="1222"/>
      <c r="L65" s="1270"/>
      <c r="M65" s="1226"/>
      <c r="N65" s="1222"/>
      <c r="O65" s="1222"/>
      <c r="P65" s="1270"/>
      <c r="Q65" s="1270"/>
      <c r="R65" s="1270"/>
      <c r="S65" s="1270"/>
      <c r="T65" s="1270"/>
      <c r="U65" s="1314" t="s">
        <v>1542</v>
      </c>
      <c r="V65" s="1226"/>
      <c r="W65" s="1222"/>
      <c r="X65" s="1222"/>
      <c r="Y65" s="1222"/>
      <c r="Z65" s="1222"/>
      <c r="AA65" s="1222"/>
      <c r="AB65" s="1226"/>
      <c r="AC65" s="1222"/>
      <c r="AD65" s="1222"/>
      <c r="AE65" s="1222"/>
      <c r="AF65" s="1222"/>
      <c r="AG65" s="1222"/>
      <c r="AH65" s="1226"/>
      <c r="AI65" s="1222"/>
      <c r="AJ65" s="1222"/>
      <c r="AK65" s="1222"/>
      <c r="AL65" s="1222"/>
      <c r="AM65" s="1222"/>
      <c r="AN65" s="1222"/>
      <c r="AO65" s="1344">
        <v>4.7619999999999996</v>
      </c>
      <c r="AP65" s="1345">
        <v>48.86</v>
      </c>
      <c r="AQ65" s="1221" t="s">
        <v>1006</v>
      </c>
      <c r="AR65" s="1221" t="s">
        <v>165</v>
      </c>
      <c r="AS65" s="1221" t="s">
        <v>1525</v>
      </c>
      <c r="BK65" s="1271">
        <v>14</v>
      </c>
      <c r="BL65" s="1267" t="s">
        <v>505</v>
      </c>
      <c r="BM65" s="1268">
        <v>1</v>
      </c>
      <c r="BN65" s="1268">
        <v>1.087</v>
      </c>
      <c r="BO65" s="1269">
        <v>1.3280238534269686E-2</v>
      </c>
      <c r="BP65" s="1269">
        <f t="shared" si="8"/>
        <v>1.3280238534269686E-2</v>
      </c>
      <c r="BQ65" s="1269">
        <f t="shared" si="7"/>
        <v>1.4435619286751147E-2</v>
      </c>
    </row>
    <row r="66" spans="1:69">
      <c r="A66" s="2480"/>
      <c r="B66" s="1222"/>
      <c r="C66" s="1223"/>
      <c r="D66" s="1223"/>
      <c r="E66" s="1222"/>
      <c r="F66" s="1222"/>
      <c r="G66" s="1270"/>
      <c r="H66" s="1270"/>
      <c r="I66" s="1270"/>
      <c r="J66" s="1270"/>
      <c r="K66" s="1222"/>
      <c r="L66" s="1270"/>
      <c r="M66" s="1226"/>
      <c r="N66" s="1222"/>
      <c r="O66" s="1222"/>
      <c r="P66" s="1270"/>
      <c r="Q66" s="1270"/>
      <c r="R66" s="1270"/>
      <c r="S66" s="1270"/>
      <c r="T66" s="1270"/>
      <c r="U66" s="1319" t="s">
        <v>1544</v>
      </c>
      <c r="V66" s="1264">
        <f>(3+2+3.5+2+1.5+5.5+1.25+2)/8</f>
        <v>2.59375</v>
      </c>
      <c r="W66" s="1222"/>
      <c r="X66" s="1222"/>
      <c r="Y66" s="1222"/>
      <c r="Z66" s="1222"/>
      <c r="AA66" s="1222"/>
      <c r="AB66" s="1226"/>
      <c r="AC66" s="1222"/>
      <c r="AD66" s="1222"/>
      <c r="AE66" s="1222"/>
      <c r="AF66" s="1222"/>
      <c r="AG66" s="1222"/>
      <c r="AH66" s="1226"/>
      <c r="AI66" s="1222"/>
      <c r="AJ66" s="1222"/>
      <c r="AK66" s="1222"/>
      <c r="AL66" s="1222"/>
      <c r="AM66" s="1222"/>
      <c r="AN66" s="1222"/>
      <c r="AO66" s="1226"/>
      <c r="AP66" s="1253"/>
      <c r="AQ66" s="1221">
        <v>150</v>
      </c>
      <c r="AR66" s="1221">
        <f>1/8</f>
        <v>0.125</v>
      </c>
      <c r="AS66" s="1221">
        <f t="shared" ref="AS66:AS74" si="10">AO57/AR66</f>
        <v>25</v>
      </c>
      <c r="BI66" s="1221" t="s">
        <v>1526</v>
      </c>
      <c r="BK66" s="1271">
        <v>15</v>
      </c>
      <c r="BL66" s="1267" t="s">
        <v>506</v>
      </c>
      <c r="BM66" s="1268">
        <v>0.997</v>
      </c>
      <c r="BN66" s="1268">
        <v>1.1739999999999999</v>
      </c>
      <c r="BO66" s="1269">
        <v>4.1272705873121741E-2</v>
      </c>
      <c r="BP66" s="1269">
        <f t="shared" si="8"/>
        <v>4.1148887755502378E-2</v>
      </c>
      <c r="BQ66" s="1269">
        <f t="shared" si="7"/>
        <v>4.8454156695044923E-2</v>
      </c>
    </row>
    <row r="67" spans="1:69">
      <c r="A67" s="2480"/>
      <c r="B67" s="1222"/>
      <c r="C67" s="1223"/>
      <c r="D67" s="1223"/>
      <c r="E67" s="1222"/>
      <c r="F67" s="1222"/>
      <c r="G67" s="1270"/>
      <c r="H67" s="1270"/>
      <c r="I67" s="1270"/>
      <c r="J67" s="1270"/>
      <c r="K67" s="1222"/>
      <c r="L67" s="1270"/>
      <c r="M67" s="1226"/>
      <c r="N67" s="1222"/>
      <c r="O67" s="1222"/>
      <c r="P67" s="1270"/>
      <c r="Q67" s="1270"/>
      <c r="R67" s="1270"/>
      <c r="S67" s="1270"/>
      <c r="T67" s="1270"/>
      <c r="U67" s="1226"/>
      <c r="V67" s="1226"/>
      <c r="W67" s="1222"/>
      <c r="X67" s="1222"/>
      <c r="Y67" s="1222"/>
      <c r="Z67" s="1222"/>
      <c r="AA67" s="1222"/>
      <c r="AB67" s="1226"/>
      <c r="AC67" s="1222"/>
      <c r="AD67" s="1222"/>
      <c r="AE67" s="1222"/>
      <c r="AF67" s="1222"/>
      <c r="AG67" s="1222"/>
      <c r="AH67" s="1226"/>
      <c r="AI67" s="1222"/>
      <c r="AJ67" s="1222"/>
      <c r="AK67" s="1222"/>
      <c r="AL67" s="1222"/>
      <c r="AM67" s="1222"/>
      <c r="AN67" s="1222"/>
      <c r="AO67" s="1226"/>
      <c r="AP67" s="1253"/>
      <c r="AQ67" s="1221">
        <v>485</v>
      </c>
      <c r="AR67" s="1221">
        <f>1/6</f>
        <v>0.16666666666666666</v>
      </c>
      <c r="AS67" s="1221">
        <f t="shared" si="10"/>
        <v>20.688000000000002</v>
      </c>
      <c r="BG67" s="1221">
        <v>1146.74</v>
      </c>
      <c r="BH67" s="1221">
        <v>1371.69</v>
      </c>
      <c r="BI67" s="1221">
        <f>BH67/BG67</f>
        <v>1.1961647801594084</v>
      </c>
      <c r="BK67" s="1271">
        <v>16</v>
      </c>
      <c r="BL67" s="1267" t="s">
        <v>507</v>
      </c>
      <c r="BM67" s="1268">
        <v>1.0409999999999999</v>
      </c>
      <c r="BN67" s="1268">
        <v>1.157</v>
      </c>
      <c r="BO67" s="1269">
        <v>1.0553572129153753E-2</v>
      </c>
      <c r="BP67" s="1269">
        <f t="shared" si="8"/>
        <v>1.0986268586449056E-2</v>
      </c>
      <c r="BQ67" s="1269">
        <f t="shared" si="7"/>
        <v>1.2210482953430891E-2</v>
      </c>
    </row>
    <row r="68" spans="1:69">
      <c r="A68" s="2480"/>
      <c r="B68" s="1222"/>
      <c r="C68" s="1223"/>
      <c r="D68" s="1223"/>
      <c r="E68" s="1222"/>
      <c r="F68" s="1222"/>
      <c r="G68" s="1270"/>
      <c r="H68" s="1270"/>
      <c r="I68" s="1270"/>
      <c r="J68" s="1270"/>
      <c r="K68" s="1222"/>
      <c r="L68" s="1270"/>
      <c r="M68" s="1226"/>
      <c r="N68" s="1222"/>
      <c r="O68" s="1222"/>
      <c r="P68" s="1270"/>
      <c r="Q68" s="1270"/>
      <c r="R68" s="1270"/>
      <c r="S68" s="1270"/>
      <c r="T68" s="1270"/>
      <c r="U68" s="1226"/>
      <c r="V68" s="1226"/>
      <c r="W68" s="1222"/>
      <c r="X68" s="1222"/>
      <c r="Y68" s="1222"/>
      <c r="Z68" s="1222"/>
      <c r="AA68" s="1222"/>
      <c r="AB68" s="1226"/>
      <c r="AC68" s="1222"/>
      <c r="AD68" s="1222"/>
      <c r="AE68" s="1222"/>
      <c r="AF68" s="1222"/>
      <c r="AG68" s="1222"/>
      <c r="AH68" s="1226"/>
      <c r="AI68" s="1222"/>
      <c r="AJ68" s="1222"/>
      <c r="AK68" s="1222"/>
      <c r="AL68" s="1222"/>
      <c r="AM68" s="1222"/>
      <c r="AN68" s="1222"/>
      <c r="AO68" s="1226"/>
      <c r="AP68" s="1253"/>
      <c r="AQ68" s="1221">
        <v>1950</v>
      </c>
      <c r="AR68" s="1221">
        <f>1/2</f>
        <v>0.5</v>
      </c>
      <c r="AS68" s="1221">
        <f t="shared" si="10"/>
        <v>8.3339999999999996</v>
      </c>
      <c r="BG68" s="1221">
        <v>1394.37</v>
      </c>
      <c r="BH68" s="1221">
        <v>1650.71</v>
      </c>
      <c r="BI68" s="1221">
        <f t="shared" ref="BI68:BI77" si="11">BH68/BG68</f>
        <v>1.1838392965998983</v>
      </c>
      <c r="BK68" s="1268"/>
      <c r="BL68" s="1267" t="s">
        <v>398</v>
      </c>
      <c r="BM68" s="1268">
        <f>AVERAGE(BM52:BM67)</f>
        <v>1.0224374999999999</v>
      </c>
      <c r="BN68" s="1268">
        <f>AVERAGE(BN52:BN67)</f>
        <v>1.19675</v>
      </c>
      <c r="BO68" s="1269">
        <f>SUM(BO52:BO67)</f>
        <v>0.99999999999999989</v>
      </c>
      <c r="BP68" s="1269">
        <f>SUM(BP52:BP67)</f>
        <v>1.0298729844246537</v>
      </c>
      <c r="BQ68" s="1269">
        <f>SUM(BQ52:BQ67)</f>
        <v>1.2183954450939622</v>
      </c>
    </row>
    <row r="69" spans="1:69">
      <c r="A69" s="2480"/>
      <c r="B69" s="1222"/>
      <c r="C69" s="1223"/>
      <c r="D69" s="1223"/>
      <c r="E69" s="1222"/>
      <c r="F69" s="1222"/>
      <c r="G69" s="1270"/>
      <c r="H69" s="1270"/>
      <c r="I69" s="1270"/>
      <c r="J69" s="1270"/>
      <c r="K69" s="1222"/>
      <c r="L69" s="1270"/>
      <c r="M69" s="1226"/>
      <c r="N69" s="1222"/>
      <c r="O69" s="1222"/>
      <c r="P69" s="1270"/>
      <c r="Q69" s="1270"/>
      <c r="R69" s="1270"/>
      <c r="S69" s="1270"/>
      <c r="T69" s="1270"/>
      <c r="U69" s="1226"/>
      <c r="V69" s="1226"/>
      <c r="W69" s="1222"/>
      <c r="X69" s="1222"/>
      <c r="Y69" s="1222"/>
      <c r="Z69" s="1222"/>
      <c r="AA69" s="1222"/>
      <c r="AB69" s="1226"/>
      <c r="AC69" s="1222"/>
      <c r="AD69" s="1222"/>
      <c r="AE69" s="1222"/>
      <c r="AF69" s="1222"/>
      <c r="AG69" s="1222"/>
      <c r="AH69" s="1226"/>
      <c r="AI69" s="1222"/>
      <c r="AJ69" s="1222"/>
      <c r="AK69" s="1222"/>
      <c r="AL69" s="1222"/>
      <c r="AM69" s="1222"/>
      <c r="AN69" s="1222"/>
      <c r="AO69" s="1226"/>
      <c r="AP69" s="1253"/>
      <c r="AQ69" s="1221">
        <v>2410</v>
      </c>
      <c r="AR69" s="1221">
        <f>3/4</f>
        <v>0.75</v>
      </c>
      <c r="AS69" s="1221">
        <f t="shared" si="10"/>
        <v>6.06</v>
      </c>
      <c r="BG69" s="1221">
        <v>1644.72</v>
      </c>
      <c r="BH69" s="1221">
        <v>1958.43</v>
      </c>
      <c r="BI69" s="1221">
        <f t="shared" si="11"/>
        <v>1.1907376331533635</v>
      </c>
      <c r="BK69" s="168" t="s">
        <v>1532</v>
      </c>
    </row>
    <row r="70" spans="1:69" ht="15" thickBot="1">
      <c r="A70" s="2480"/>
      <c r="B70" s="1222"/>
      <c r="C70" s="1223"/>
      <c r="D70" s="1223"/>
      <c r="E70" s="1222"/>
      <c r="F70" s="1222"/>
      <c r="G70" s="1270"/>
      <c r="H70" s="1270"/>
      <c r="I70" s="1270"/>
      <c r="J70" s="1270"/>
      <c r="K70" s="1222"/>
      <c r="L70" s="1270"/>
      <c r="M70" s="1226"/>
      <c r="N70" s="1222"/>
      <c r="O70" s="1222"/>
      <c r="P70" s="1270"/>
      <c r="Q70" s="1270"/>
      <c r="R70" s="1270"/>
      <c r="S70" s="1270"/>
      <c r="T70" s="1270"/>
      <c r="U70" s="1226"/>
      <c r="V70" s="1226"/>
      <c r="W70" s="1222"/>
      <c r="X70" s="1222"/>
      <c r="Y70" s="1222"/>
      <c r="Z70" s="1222"/>
      <c r="AA70" s="1222"/>
      <c r="AB70" s="1226"/>
      <c r="AC70" s="1222"/>
      <c r="AD70" s="1222"/>
      <c r="AE70" s="1222"/>
      <c r="AF70" s="1222"/>
      <c r="AG70" s="1222"/>
      <c r="AH70" s="1226"/>
      <c r="AI70" s="1222"/>
      <c r="AJ70" s="1222"/>
      <c r="AK70" s="1222"/>
      <c r="AL70" s="1222"/>
      <c r="AM70" s="1222"/>
      <c r="AN70" s="1222"/>
      <c r="AO70" s="1226"/>
      <c r="AP70" s="1253"/>
      <c r="AQ70" s="1221">
        <v>3328</v>
      </c>
      <c r="AR70" s="1221">
        <v>1.5</v>
      </c>
      <c r="AS70" s="1221">
        <f t="shared" si="10"/>
        <v>4.4446666666666665</v>
      </c>
      <c r="BG70" s="1221">
        <v>2787.09</v>
      </c>
      <c r="BH70" s="1221">
        <v>3221.05</v>
      </c>
      <c r="BI70" s="1221">
        <f t="shared" si="11"/>
        <v>1.1557036191870373</v>
      </c>
      <c r="BK70" s="168" t="s">
        <v>1535</v>
      </c>
    </row>
    <row r="71" spans="1:69" ht="24" thickBot="1">
      <c r="A71" s="1241" t="s">
        <v>1128</v>
      </c>
      <c r="B71" s="1242"/>
      <c r="C71" s="1243"/>
      <c r="D71" s="1243"/>
      <c r="E71" s="1242"/>
      <c r="F71" s="1242"/>
      <c r="G71" s="1244"/>
      <c r="H71" s="1244"/>
      <c r="I71" s="1244"/>
      <c r="J71" s="1244"/>
      <c r="K71" s="1242"/>
      <c r="L71" s="1244"/>
      <c r="M71" s="1245"/>
      <c r="N71" s="1242"/>
      <c r="O71" s="1242"/>
      <c r="P71" s="1244"/>
      <c r="Q71" s="1244"/>
      <c r="R71" s="1244"/>
      <c r="S71" s="1244"/>
      <c r="T71" s="1244"/>
      <c r="U71" s="1245"/>
      <c r="V71" s="1245"/>
      <c r="W71" s="1242"/>
      <c r="X71" s="1242"/>
      <c r="Y71" s="1242"/>
      <c r="Z71" s="1242"/>
      <c r="AA71" s="1242"/>
      <c r="AB71" s="1245"/>
      <c r="AC71" s="1242"/>
      <c r="AD71" s="1242"/>
      <c r="AE71" s="1242"/>
      <c r="AF71" s="1242"/>
      <c r="AG71" s="1242"/>
      <c r="AH71" s="1245"/>
      <c r="AI71" s="1242"/>
      <c r="AJ71" s="1242"/>
      <c r="AK71" s="1242"/>
      <c r="AL71" s="1242"/>
      <c r="AM71" s="1242"/>
      <c r="AN71" s="1242"/>
      <c r="AO71" s="1245"/>
      <c r="AP71" s="1246"/>
      <c r="AQ71" s="1221">
        <v>800</v>
      </c>
      <c r="AR71" s="1221">
        <v>0.25</v>
      </c>
      <c r="AS71" s="1221">
        <f t="shared" si="10"/>
        <v>13.332000000000001</v>
      </c>
      <c r="BG71" s="1221">
        <v>3258.5</v>
      </c>
      <c r="BH71" s="1221">
        <v>3815.35</v>
      </c>
      <c r="BI71" s="1221">
        <f t="shared" si="11"/>
        <v>1.170891514500537</v>
      </c>
    </row>
    <row r="72" spans="1:69">
      <c r="A72" s="2479" t="s">
        <v>1129</v>
      </c>
      <c r="B72" s="1273" t="s">
        <v>1548</v>
      </c>
      <c r="C72" s="1255" t="s">
        <v>165</v>
      </c>
      <c r="D72" s="1255" t="s">
        <v>1433</v>
      </c>
      <c r="E72" s="1274">
        <f>AVERAGE(AR86:AR90)</f>
        <v>0.39523633333333325</v>
      </c>
      <c r="F72" s="1268" t="s">
        <v>1549</v>
      </c>
      <c r="G72" s="1258">
        <f>AP77*BQ45</f>
        <v>65.314181750349704</v>
      </c>
      <c r="H72" s="1258">
        <f>G72*E72</f>
        <v>25.814537709675125</v>
      </c>
      <c r="I72" s="1260"/>
      <c r="J72" s="1259"/>
      <c r="K72" s="2488">
        <v>0.2</v>
      </c>
      <c r="L72" s="1276">
        <f>E72*G72*(1+K72)</f>
        <v>30.977445251610149</v>
      </c>
      <c r="M72" s="1285"/>
      <c r="N72" s="1222"/>
      <c r="O72" s="1222"/>
      <c r="P72" s="1270"/>
      <c r="Q72" s="1270"/>
      <c r="R72" s="1270"/>
      <c r="S72" s="1270"/>
      <c r="T72" s="1270"/>
      <c r="U72" s="1314" t="s">
        <v>1550</v>
      </c>
      <c r="V72" s="1226"/>
      <c r="W72" s="1222"/>
      <c r="X72" s="1222"/>
      <c r="Y72" s="1222"/>
      <c r="Z72" s="1222"/>
      <c r="AA72" s="1222"/>
      <c r="AB72" s="1226"/>
      <c r="AC72" s="1222"/>
      <c r="AD72" s="1222"/>
      <c r="AE72" s="1222"/>
      <c r="AF72" s="1222"/>
      <c r="AG72" s="1222"/>
      <c r="AH72" s="1226"/>
      <c r="AI72" s="1222"/>
      <c r="AJ72" s="1222"/>
      <c r="AK72" s="1222"/>
      <c r="AL72" s="1222"/>
      <c r="AM72" s="1222"/>
      <c r="AN72" s="1222"/>
      <c r="AO72" s="1264">
        <v>17.978000000000002</v>
      </c>
      <c r="AP72" s="1265">
        <v>52.4</v>
      </c>
      <c r="AQ72" s="1221">
        <v>1300</v>
      </c>
      <c r="AR72" s="1221">
        <f>1/3</f>
        <v>0.33333333333333331</v>
      </c>
      <c r="AS72" s="1221">
        <f t="shared" si="10"/>
        <v>12</v>
      </c>
      <c r="BG72" s="1221">
        <v>1277.47</v>
      </c>
      <c r="BH72" s="1221">
        <v>1527.09</v>
      </c>
      <c r="BI72" s="1221">
        <f t="shared" si="11"/>
        <v>1.195401848967099</v>
      </c>
    </row>
    <row r="73" spans="1:69">
      <c r="A73" s="2480"/>
      <c r="B73" s="1273" t="s">
        <v>1551</v>
      </c>
      <c r="C73" s="1255" t="s">
        <v>165</v>
      </c>
      <c r="D73" s="1255" t="s">
        <v>1433</v>
      </c>
      <c r="E73" s="1274">
        <f>AVERAGE(AR81:AR85)</f>
        <v>0.81885433333333335</v>
      </c>
      <c r="F73" s="1268" t="s">
        <v>1552</v>
      </c>
      <c r="G73" s="1258">
        <f>AP83*BQ45</f>
        <v>58.274529605283924</v>
      </c>
      <c r="H73" s="1258">
        <f>G73*E73</f>
        <v>47.718351090248362</v>
      </c>
      <c r="I73" s="1260"/>
      <c r="J73" s="1259"/>
      <c r="K73" s="2489"/>
      <c r="L73" s="1276">
        <f>E73*G73*(1+K72)</f>
        <v>57.262021308298031</v>
      </c>
      <c r="M73" s="1226"/>
      <c r="N73" s="1222"/>
      <c r="O73" s="1222"/>
      <c r="P73" s="1270"/>
      <c r="Q73" s="1270"/>
      <c r="R73" s="1270"/>
      <c r="S73" s="1270"/>
      <c r="T73" s="1270"/>
      <c r="U73" s="1314" t="s">
        <v>1553</v>
      </c>
      <c r="V73" s="1226"/>
      <c r="W73" s="1222"/>
      <c r="X73" s="1222"/>
      <c r="Y73" s="1222"/>
      <c r="Z73" s="1222"/>
      <c r="AA73" s="1222"/>
      <c r="AB73" s="1226"/>
      <c r="AC73" s="1222"/>
      <c r="AD73" s="1222"/>
      <c r="AE73" s="1222"/>
      <c r="AF73" s="1222"/>
      <c r="AG73" s="1222"/>
      <c r="AH73" s="1226"/>
      <c r="AI73" s="1222"/>
      <c r="AJ73" s="1222"/>
      <c r="AK73" s="1222"/>
      <c r="AL73" s="1222"/>
      <c r="AM73" s="1222"/>
      <c r="AN73" s="1222"/>
      <c r="AO73" s="1264">
        <v>17.978000000000002</v>
      </c>
      <c r="AP73" s="1265">
        <v>52.4</v>
      </c>
      <c r="AQ73" s="1221">
        <v>2000</v>
      </c>
      <c r="AR73" s="1221">
        <v>0.75</v>
      </c>
      <c r="AS73" s="1221">
        <f t="shared" si="10"/>
        <v>5.7973333333333334</v>
      </c>
      <c r="BG73" s="1221">
        <v>1380.05</v>
      </c>
      <c r="BH73" s="1221">
        <v>1665.34</v>
      </c>
      <c r="BI73" s="1221">
        <f t="shared" si="11"/>
        <v>1.206724394043694</v>
      </c>
    </row>
    <row r="74" spans="1:69">
      <c r="A74" s="2480"/>
      <c r="B74" s="1222"/>
      <c r="C74" s="1223"/>
      <c r="D74" s="1223"/>
      <c r="E74" s="1222"/>
      <c r="F74" s="1222"/>
      <c r="G74" s="1270"/>
      <c r="H74" s="1270"/>
      <c r="I74" s="1270"/>
      <c r="J74" s="1270"/>
      <c r="K74" s="1222"/>
      <c r="L74" s="1270"/>
      <c r="M74" s="1226"/>
      <c r="N74" s="1222"/>
      <c r="O74" s="1222"/>
      <c r="P74" s="1270"/>
      <c r="Q74" s="1270"/>
      <c r="R74" s="1270"/>
      <c r="S74" s="1270"/>
      <c r="T74" s="1270"/>
      <c r="U74" s="1314" t="s">
        <v>1554</v>
      </c>
      <c r="V74" s="1226"/>
      <c r="W74" s="1222"/>
      <c r="X74" s="1222"/>
      <c r="Y74" s="1222"/>
      <c r="Z74" s="1222"/>
      <c r="AA74" s="1222"/>
      <c r="AB74" s="1226"/>
      <c r="AC74" s="1222"/>
      <c r="AD74" s="1222"/>
      <c r="AE74" s="1222"/>
      <c r="AF74" s="1222"/>
      <c r="AG74" s="1222"/>
      <c r="AH74" s="1226"/>
      <c r="AI74" s="1222"/>
      <c r="AJ74" s="1222"/>
      <c r="AK74" s="1222"/>
      <c r="AL74" s="1222"/>
      <c r="AM74" s="1222"/>
      <c r="AN74" s="1222"/>
      <c r="AO74" s="1264">
        <v>23.881</v>
      </c>
      <c r="AP74" s="1265">
        <v>52.4</v>
      </c>
      <c r="AQ74" s="1221">
        <v>2900</v>
      </c>
      <c r="AR74" s="1221">
        <v>1</v>
      </c>
      <c r="AS74" s="1221">
        <f t="shared" si="10"/>
        <v>4.7619999999999996</v>
      </c>
      <c r="BG74" s="1221">
        <v>1603.91</v>
      </c>
      <c r="BH74" s="1221">
        <v>1929.38</v>
      </c>
      <c r="BI74" s="1221">
        <f t="shared" si="11"/>
        <v>1.2029228572675523</v>
      </c>
    </row>
    <row r="75" spans="1:69">
      <c r="A75" s="2480"/>
      <c r="B75" s="1222"/>
      <c r="C75" s="1223"/>
      <c r="D75" s="1223"/>
      <c r="E75" s="1222"/>
      <c r="F75" s="1222"/>
      <c r="G75" s="1270"/>
      <c r="H75" s="1270"/>
      <c r="I75" s="1270"/>
      <c r="J75" s="1270"/>
      <c r="K75" s="1222"/>
      <c r="L75" s="1270"/>
      <c r="M75" s="1226"/>
      <c r="N75" s="1222"/>
      <c r="O75" s="1222"/>
      <c r="P75" s="1270"/>
      <c r="Q75" s="1270"/>
      <c r="R75" s="1270"/>
      <c r="S75" s="1270"/>
      <c r="T75" s="1270"/>
      <c r="U75" s="1314" t="s">
        <v>1555</v>
      </c>
      <c r="V75" s="1226"/>
      <c r="W75" s="1222"/>
      <c r="X75" s="1222"/>
      <c r="Y75" s="1222"/>
      <c r="Z75" s="1222"/>
      <c r="AA75" s="1222"/>
      <c r="AB75" s="1226"/>
      <c r="AC75" s="1222"/>
      <c r="AD75" s="1222"/>
      <c r="AE75" s="1222"/>
      <c r="AF75" s="1222"/>
      <c r="AG75" s="1222"/>
      <c r="AH75" s="1226"/>
      <c r="AI75" s="1222"/>
      <c r="AJ75" s="1222"/>
      <c r="AK75" s="1222"/>
      <c r="AL75" s="1222"/>
      <c r="AM75" s="1222"/>
      <c r="AN75" s="1222"/>
      <c r="AO75" s="1264">
        <v>23.881</v>
      </c>
      <c r="AP75" s="1265">
        <v>52.4</v>
      </c>
      <c r="AS75" s="1221" t="s">
        <v>1541</v>
      </c>
      <c r="AT75" s="1221">
        <f>AVERAGE(AS66:AS70)</f>
        <v>12.905333333333335</v>
      </c>
      <c r="BG75" s="1221">
        <v>2073.19</v>
      </c>
      <c r="BH75" s="1221">
        <v>2440.9</v>
      </c>
      <c r="BI75" s="1221">
        <f t="shared" si="11"/>
        <v>1.1773643515548502</v>
      </c>
    </row>
    <row r="76" spans="1:69">
      <c r="A76" s="2480"/>
      <c r="B76" s="1222"/>
      <c r="C76" s="1223"/>
      <c r="D76" s="1223"/>
      <c r="E76" s="1222"/>
      <c r="F76" s="1222"/>
      <c r="G76" s="1270"/>
      <c r="H76" s="1270"/>
      <c r="I76" s="1270"/>
      <c r="J76" s="1270"/>
      <c r="K76" s="1222"/>
      <c r="L76" s="1270"/>
      <c r="M76" s="1226"/>
      <c r="N76" s="1222"/>
      <c r="O76" s="1222"/>
      <c r="P76" s="1270"/>
      <c r="Q76" s="1270"/>
      <c r="R76" s="1270"/>
      <c r="S76" s="1270"/>
      <c r="T76" s="1270"/>
      <c r="U76" s="1314" t="s">
        <v>1556</v>
      </c>
      <c r="V76" s="1226"/>
      <c r="W76" s="1222"/>
      <c r="X76" s="1222"/>
      <c r="Y76" s="1222"/>
      <c r="Z76" s="1222"/>
      <c r="AA76" s="1222"/>
      <c r="AB76" s="1226"/>
      <c r="AC76" s="1222"/>
      <c r="AD76" s="1222"/>
      <c r="AE76" s="1222"/>
      <c r="AF76" s="1222"/>
      <c r="AG76" s="1222"/>
      <c r="AH76" s="1226"/>
      <c r="AI76" s="1222"/>
      <c r="AJ76" s="1222"/>
      <c r="AK76" s="1222"/>
      <c r="AL76" s="1222"/>
      <c r="AM76" s="1222"/>
      <c r="AN76" s="1222"/>
      <c r="AO76" s="1264">
        <v>30.189</v>
      </c>
      <c r="AP76" s="1265">
        <v>52.4</v>
      </c>
      <c r="AS76" s="1221" t="s">
        <v>1543</v>
      </c>
      <c r="AT76" s="1221">
        <f>STDEV(AS66:AS70)</f>
        <v>9.3030830851330624</v>
      </c>
      <c r="BG76" s="1221">
        <v>2471.42</v>
      </c>
      <c r="BH76" s="1221">
        <v>2900.1</v>
      </c>
      <c r="BI76" s="1221">
        <f t="shared" si="11"/>
        <v>1.1734549368379312</v>
      </c>
    </row>
    <row r="77" spans="1:69">
      <c r="A77" s="2480"/>
      <c r="B77" s="1222"/>
      <c r="C77" s="1223"/>
      <c r="D77" s="1223"/>
      <c r="E77" s="1222"/>
      <c r="F77" s="1222"/>
      <c r="G77" s="1270"/>
      <c r="H77" s="1270"/>
      <c r="I77" s="1270"/>
      <c r="J77" s="1270"/>
      <c r="K77" s="1222"/>
      <c r="L77" s="1270"/>
      <c r="M77" s="1226"/>
      <c r="N77" s="1222"/>
      <c r="O77" s="1222"/>
      <c r="P77" s="1270"/>
      <c r="Q77" s="1270"/>
      <c r="R77" s="1270"/>
      <c r="S77" s="1270"/>
      <c r="T77" s="1270"/>
      <c r="U77" s="1314" t="s">
        <v>1557</v>
      </c>
      <c r="V77" s="1226"/>
      <c r="W77" s="1222"/>
      <c r="X77" s="1222"/>
      <c r="Y77" s="1222"/>
      <c r="Z77" s="1222"/>
      <c r="AA77" s="1222"/>
      <c r="AB77" s="1226"/>
      <c r="AC77" s="1222"/>
      <c r="AD77" s="1222"/>
      <c r="AE77" s="1222"/>
      <c r="AF77" s="1222"/>
      <c r="AG77" s="1222"/>
      <c r="AH77" s="1226"/>
      <c r="AI77" s="1222"/>
      <c r="AJ77" s="1222"/>
      <c r="AK77" s="1222"/>
      <c r="AL77" s="1222"/>
      <c r="AM77" s="1222"/>
      <c r="AN77" s="1222"/>
      <c r="AO77" s="1264">
        <v>35.713999999999999</v>
      </c>
      <c r="AP77" s="1265">
        <v>58.73</v>
      </c>
      <c r="AS77" s="1221" t="s">
        <v>1545</v>
      </c>
      <c r="AT77" s="1221">
        <f>AVERAGE(AS71:AS74)</f>
        <v>8.9728333333333339</v>
      </c>
      <c r="BG77" s="1221">
        <v>2909.97</v>
      </c>
      <c r="BH77" s="1221">
        <v>3399.38</v>
      </c>
      <c r="BI77" s="1221">
        <f t="shared" si="11"/>
        <v>1.1681838644384652</v>
      </c>
    </row>
    <row r="78" spans="1:69">
      <c r="A78" s="2480"/>
      <c r="B78" s="1222"/>
      <c r="C78" s="1223"/>
      <c r="D78" s="1223"/>
      <c r="E78" s="1222"/>
      <c r="F78" s="1222"/>
      <c r="G78" s="1270"/>
      <c r="H78" s="1270"/>
      <c r="I78" s="1270"/>
      <c r="J78" s="1270"/>
      <c r="K78" s="1222"/>
      <c r="L78" s="1270"/>
      <c r="M78" s="1226"/>
      <c r="N78" s="1222"/>
      <c r="O78" s="1222"/>
      <c r="P78" s="1270"/>
      <c r="Q78" s="1270"/>
      <c r="R78" s="1270"/>
      <c r="S78" s="1270"/>
      <c r="T78" s="1270"/>
      <c r="U78" s="1314" t="s">
        <v>1558</v>
      </c>
      <c r="V78" s="1226"/>
      <c r="W78" s="1222"/>
      <c r="X78" s="1222"/>
      <c r="Y78" s="1222"/>
      <c r="Z78" s="1222"/>
      <c r="AA78" s="1222"/>
      <c r="AB78" s="1226"/>
      <c r="AC78" s="1222"/>
      <c r="AD78" s="1222"/>
      <c r="AE78" s="1222"/>
      <c r="AF78" s="1222"/>
      <c r="AG78" s="1222"/>
      <c r="AH78" s="1226"/>
      <c r="AI78" s="1222"/>
      <c r="AJ78" s="1222"/>
      <c r="AK78" s="1222"/>
      <c r="AL78" s="1222"/>
      <c r="AM78" s="1222"/>
      <c r="AN78" s="1222"/>
      <c r="AO78" s="1264">
        <v>35.713999999999999</v>
      </c>
      <c r="AP78" s="1265">
        <v>58.73</v>
      </c>
      <c r="AS78" s="1221" t="s">
        <v>1546</v>
      </c>
      <c r="AT78" s="1221">
        <f>STDEV(AS71:AS74)</f>
        <v>4.3197603971619651</v>
      </c>
      <c r="BI78" s="1221">
        <f>AVERAGE(BI67:BI77)</f>
        <v>1.1837626451554397</v>
      </c>
    </row>
    <row r="79" spans="1:69">
      <c r="A79" s="2480"/>
      <c r="B79" s="1222"/>
      <c r="C79" s="1223"/>
      <c r="D79" s="1223"/>
      <c r="E79" s="1222"/>
      <c r="F79" s="1222"/>
      <c r="G79" s="1270"/>
      <c r="H79" s="1270"/>
      <c r="I79" s="1270"/>
      <c r="J79" s="1270"/>
      <c r="K79" s="1222"/>
      <c r="L79" s="1270"/>
      <c r="M79" s="1226"/>
      <c r="N79" s="1222"/>
      <c r="O79" s="1222"/>
      <c r="P79" s="1270"/>
      <c r="Q79" s="1270"/>
      <c r="R79" s="1270"/>
      <c r="S79" s="1270"/>
      <c r="T79" s="1270"/>
      <c r="U79" s="1314" t="s">
        <v>1559</v>
      </c>
      <c r="V79" s="1226"/>
      <c r="W79" s="1222"/>
      <c r="X79" s="1222"/>
      <c r="Y79" s="1222"/>
      <c r="Z79" s="1222"/>
      <c r="AA79" s="1222"/>
      <c r="AB79" s="1226"/>
      <c r="AC79" s="1222"/>
      <c r="AD79" s="1222"/>
      <c r="AE79" s="1222"/>
      <c r="AF79" s="1222"/>
      <c r="AG79" s="1222"/>
      <c r="AH79" s="1226"/>
      <c r="AI79" s="1222"/>
      <c r="AJ79" s="1222"/>
      <c r="AK79" s="1222"/>
      <c r="AL79" s="1222"/>
      <c r="AM79" s="1222"/>
      <c r="AN79" s="1222"/>
      <c r="AO79" s="1264">
        <v>40</v>
      </c>
      <c r="AP79" s="1265">
        <v>58.73</v>
      </c>
    </row>
    <row r="80" spans="1:69">
      <c r="A80" s="2480"/>
      <c r="B80" s="1222"/>
      <c r="C80" s="1223"/>
      <c r="D80" s="1223"/>
      <c r="E80" s="1222"/>
      <c r="F80" s="1222"/>
      <c r="G80" s="1270"/>
      <c r="H80" s="1270"/>
      <c r="I80" s="1270"/>
      <c r="J80" s="1270"/>
      <c r="K80" s="1222"/>
      <c r="L80" s="1270"/>
      <c r="M80" s="1226"/>
      <c r="N80" s="1222"/>
      <c r="O80" s="1222"/>
      <c r="P80" s="1270"/>
      <c r="Q80" s="1270"/>
      <c r="R80" s="1270"/>
      <c r="S80" s="1270"/>
      <c r="T80" s="1270"/>
      <c r="U80" s="1314" t="s">
        <v>1560</v>
      </c>
      <c r="V80" s="1226"/>
      <c r="W80" s="1222"/>
      <c r="X80" s="1222"/>
      <c r="Y80" s="1222"/>
      <c r="Z80" s="1222"/>
      <c r="AA80" s="1222"/>
      <c r="AB80" s="1226"/>
      <c r="AC80" s="1222"/>
      <c r="AD80" s="1222"/>
      <c r="AE80" s="1222"/>
      <c r="AF80" s="1222"/>
      <c r="AG80" s="1222"/>
      <c r="AH80" s="1226"/>
      <c r="AI80" s="1222"/>
      <c r="AJ80" s="1222"/>
      <c r="AK80" s="1222"/>
      <c r="AL80" s="1222"/>
      <c r="AM80" s="1222"/>
      <c r="AN80" s="1222"/>
      <c r="AO80" s="1264">
        <v>40</v>
      </c>
      <c r="AP80" s="1265">
        <v>58.73</v>
      </c>
      <c r="AQ80" s="1221" t="s">
        <v>165</v>
      </c>
      <c r="AR80" s="1221" t="s">
        <v>1547</v>
      </c>
    </row>
    <row r="81" spans="1:78" ht="15" customHeight="1" thickBot="1">
      <c r="A81" s="2481"/>
      <c r="B81" s="1222"/>
      <c r="C81" s="1223"/>
      <c r="D81" s="1223"/>
      <c r="E81" s="1222"/>
      <c r="F81" s="1222"/>
      <c r="G81" s="1270"/>
      <c r="H81" s="1270"/>
      <c r="I81" s="1270"/>
      <c r="J81" s="1270"/>
      <c r="K81" s="1222"/>
      <c r="L81" s="1270"/>
      <c r="M81" s="1226"/>
      <c r="N81" s="1222"/>
      <c r="O81" s="1222"/>
      <c r="P81" s="1270"/>
      <c r="Q81" s="1270"/>
      <c r="R81" s="1270"/>
      <c r="S81" s="1270"/>
      <c r="T81" s="1270"/>
      <c r="U81" s="1314" t="s">
        <v>1561</v>
      </c>
      <c r="V81" s="1226"/>
      <c r="W81" s="1222"/>
      <c r="X81" s="1222"/>
      <c r="Y81" s="1222"/>
      <c r="Z81" s="1222"/>
      <c r="AA81" s="1222"/>
      <c r="AB81" s="1226"/>
      <c r="AC81" s="1222"/>
      <c r="AD81" s="1222"/>
      <c r="AE81" s="1222"/>
      <c r="AF81" s="1222"/>
      <c r="AG81" s="1222"/>
      <c r="AH81" s="1226"/>
      <c r="AI81" s="1222"/>
      <c r="AJ81" s="1222"/>
      <c r="AK81" s="1222"/>
      <c r="AL81" s="1222"/>
      <c r="AM81" s="1222"/>
      <c r="AN81" s="1222"/>
      <c r="AO81" s="1264">
        <v>47.619</v>
      </c>
      <c r="AP81" s="1265">
        <v>58.73</v>
      </c>
      <c r="AQ81" s="1221">
        <v>15</v>
      </c>
      <c r="AR81" s="1221">
        <f t="shared" ref="AR81:AR90" si="12">AO72/AQ81</f>
        <v>1.1985333333333335</v>
      </c>
      <c r="AS81" s="1221" t="s">
        <v>398</v>
      </c>
      <c r="AT81" s="1221">
        <f>AVERAGE(AR81:AR90)</f>
        <v>0.60704533333333344</v>
      </c>
      <c r="BG81" s="1221">
        <v>4282.01</v>
      </c>
      <c r="BH81" s="1221">
        <v>5289.58</v>
      </c>
      <c r="BI81" s="1221">
        <f t="shared" ref="BI81:BI90" si="13">BH81/BG81</f>
        <v>1.2353030469335662</v>
      </c>
    </row>
    <row r="82" spans="1:78" ht="15" customHeight="1" thickBot="1">
      <c r="A82" s="1272"/>
      <c r="B82" s="1242"/>
      <c r="C82" s="1243"/>
      <c r="D82" s="1243"/>
      <c r="E82" s="1242"/>
      <c r="F82" s="1242"/>
      <c r="G82" s="1244"/>
      <c r="H82" s="1244"/>
      <c r="I82" s="1244"/>
      <c r="J82" s="1244"/>
      <c r="K82" s="1242"/>
      <c r="L82" s="1244"/>
      <c r="M82" s="1245"/>
      <c r="N82" s="1242"/>
      <c r="O82" s="1242"/>
      <c r="P82" s="1244"/>
      <c r="Q82" s="1244"/>
      <c r="R82" s="1244"/>
      <c r="S82" s="1244"/>
      <c r="T82" s="1244"/>
      <c r="U82" s="1245"/>
      <c r="V82" s="1245"/>
      <c r="W82" s="1242"/>
      <c r="X82" s="1242"/>
      <c r="Y82" s="1242"/>
      <c r="Z82" s="1242"/>
      <c r="AA82" s="1242"/>
      <c r="AB82" s="1245"/>
      <c r="AC82" s="1242"/>
      <c r="AD82" s="1242"/>
      <c r="AE82" s="1242"/>
      <c r="AF82" s="1242"/>
      <c r="AG82" s="1242"/>
      <c r="AH82" s="1245"/>
      <c r="AI82" s="1242"/>
      <c r="AJ82" s="1242"/>
      <c r="AK82" s="1242"/>
      <c r="AL82" s="1242"/>
      <c r="AM82" s="1242"/>
      <c r="AN82" s="1242"/>
      <c r="AO82" s="1245"/>
      <c r="AP82" s="1246"/>
      <c r="AQ82" s="1221">
        <v>20</v>
      </c>
      <c r="AR82" s="1221">
        <f t="shared" si="12"/>
        <v>0.89890000000000003</v>
      </c>
      <c r="AS82" s="1221" t="s">
        <v>1476</v>
      </c>
      <c r="AT82" s="1221">
        <f>STDEV(AR81:AR90)</f>
        <v>0.29495348097519131</v>
      </c>
      <c r="BG82" s="1221">
        <v>4784.66</v>
      </c>
      <c r="BH82" s="1221">
        <v>5845.08</v>
      </c>
      <c r="BI82" s="1221">
        <f t="shared" si="13"/>
        <v>1.2216291230724858</v>
      </c>
    </row>
    <row r="83" spans="1:78" ht="15" customHeight="1">
      <c r="A83" s="2495" t="s">
        <v>1147</v>
      </c>
      <c r="B83" s="1273" t="s">
        <v>1562</v>
      </c>
      <c r="C83" s="1255" t="s">
        <v>165</v>
      </c>
      <c r="D83" s="1255" t="s">
        <v>1433</v>
      </c>
      <c r="E83" s="1274">
        <f>AT92</f>
        <v>3.3333333333333335</v>
      </c>
      <c r="F83" s="1268" t="s">
        <v>1563</v>
      </c>
      <c r="G83" s="1258">
        <f>AP83*BQ45</f>
        <v>58.274529605283924</v>
      </c>
      <c r="H83" s="1258">
        <f>G83*E83</f>
        <v>194.24843201761308</v>
      </c>
      <c r="I83" s="1260"/>
      <c r="J83" s="1259"/>
      <c r="K83" s="1275">
        <v>0.2</v>
      </c>
      <c r="L83" s="1276">
        <f>E83*G83*(1+K83)</f>
        <v>233.09811842113569</v>
      </c>
      <c r="M83" s="1285"/>
      <c r="N83" s="1222"/>
      <c r="O83" s="1222"/>
      <c r="P83" s="1270"/>
      <c r="Q83" s="1270"/>
      <c r="R83" s="1270"/>
      <c r="S83" s="1270"/>
      <c r="T83" s="1270"/>
      <c r="U83" s="1314" t="s">
        <v>1564</v>
      </c>
      <c r="V83" s="1226"/>
      <c r="W83" s="1222"/>
      <c r="X83" s="1222"/>
      <c r="Y83" s="1222"/>
      <c r="Z83" s="1222"/>
      <c r="AA83" s="1222"/>
      <c r="AB83" s="1226"/>
      <c r="AC83" s="1222"/>
      <c r="AD83" s="1222"/>
      <c r="AE83" s="1222"/>
      <c r="AF83" s="1222"/>
      <c r="AG83" s="1222"/>
      <c r="AH83" s="1226"/>
      <c r="AI83" s="1222"/>
      <c r="AJ83" s="1222"/>
      <c r="AK83" s="1222"/>
      <c r="AL83" s="1222"/>
      <c r="AM83" s="1222"/>
      <c r="AN83" s="1222"/>
      <c r="AO83" s="1264">
        <v>10</v>
      </c>
      <c r="AP83" s="1265">
        <v>52.4</v>
      </c>
      <c r="AQ83" s="1221">
        <v>30</v>
      </c>
      <c r="AR83" s="1221">
        <f t="shared" si="12"/>
        <v>0.79603333333333337</v>
      </c>
      <c r="BG83" s="1221">
        <v>6076.2</v>
      </c>
      <c r="BH83" s="1221">
        <v>7494.65</v>
      </c>
      <c r="BI83" s="1221">
        <f t="shared" si="13"/>
        <v>1.2334435996181823</v>
      </c>
    </row>
    <row r="84" spans="1:78" ht="15" customHeight="1">
      <c r="A84" s="2465"/>
      <c r="B84" s="1222"/>
      <c r="C84" s="1223"/>
      <c r="D84" s="1223"/>
      <c r="E84" s="1222"/>
      <c r="F84" s="1222"/>
      <c r="G84" s="1270"/>
      <c r="H84" s="1270"/>
      <c r="I84" s="1270"/>
      <c r="J84" s="1270"/>
      <c r="K84" s="1222"/>
      <c r="L84" s="1270"/>
      <c r="M84" s="1226"/>
      <c r="N84" s="1222"/>
      <c r="O84" s="1222"/>
      <c r="P84" s="1270"/>
      <c r="Q84" s="1270"/>
      <c r="R84" s="1270"/>
      <c r="S84" s="1270"/>
      <c r="T84" s="1270"/>
      <c r="U84" s="1314" t="s">
        <v>1565</v>
      </c>
      <c r="V84" s="1226"/>
      <c r="W84" s="1222"/>
      <c r="X84" s="1222"/>
      <c r="Y84" s="1222"/>
      <c r="Z84" s="1222"/>
      <c r="AA84" s="1222"/>
      <c r="AB84" s="1226"/>
      <c r="AC84" s="1222"/>
      <c r="AD84" s="1222"/>
      <c r="AE84" s="1222"/>
      <c r="AF84" s="1222"/>
      <c r="AG84" s="1222"/>
      <c r="AH84" s="1226"/>
      <c r="AI84" s="1222"/>
      <c r="AJ84" s="1222"/>
      <c r="AK84" s="1222"/>
      <c r="AL84" s="1222"/>
      <c r="AM84" s="1222"/>
      <c r="AN84" s="1222"/>
      <c r="AO84" s="1264">
        <v>10</v>
      </c>
      <c r="AP84" s="1265">
        <v>52.4</v>
      </c>
      <c r="AQ84" s="1221">
        <v>40</v>
      </c>
      <c r="AR84" s="1221">
        <f t="shared" si="12"/>
        <v>0.59702500000000003</v>
      </c>
      <c r="BG84" s="1221">
        <v>6997.73</v>
      </c>
      <c r="BH84" s="1221">
        <v>8527.8799999999992</v>
      </c>
      <c r="BI84" s="1221">
        <f t="shared" si="13"/>
        <v>1.2186637666786229</v>
      </c>
    </row>
    <row r="85" spans="1:78" ht="15" customHeight="1">
      <c r="A85" s="2465"/>
      <c r="B85" s="1222"/>
      <c r="C85" s="1223"/>
      <c r="D85" s="1223"/>
      <c r="E85" s="1222"/>
      <c r="F85" s="1222"/>
      <c r="G85" s="1270"/>
      <c r="H85" s="1270"/>
      <c r="I85" s="1270"/>
      <c r="J85" s="1270"/>
      <c r="K85" s="1222"/>
      <c r="L85" s="1270"/>
      <c r="M85" s="1226"/>
      <c r="N85" s="1222"/>
      <c r="O85" s="1222"/>
      <c r="P85" s="1270"/>
      <c r="Q85" s="1270"/>
      <c r="R85" s="1270"/>
      <c r="S85" s="1270"/>
      <c r="T85" s="1270"/>
      <c r="U85" s="1314" t="s">
        <v>1566</v>
      </c>
      <c r="V85" s="1226"/>
      <c r="W85" s="1222"/>
      <c r="X85" s="1222"/>
      <c r="Y85" s="1222"/>
      <c r="Z85" s="1222"/>
      <c r="AA85" s="1222"/>
      <c r="AB85" s="1226"/>
      <c r="AC85" s="1222"/>
      <c r="AD85" s="1222"/>
      <c r="AE85" s="1222"/>
      <c r="AF85" s="1222"/>
      <c r="AG85" s="1222"/>
      <c r="AH85" s="1226"/>
      <c r="AI85" s="1222"/>
      <c r="AJ85" s="1222"/>
      <c r="AK85" s="1222"/>
      <c r="AL85" s="1222"/>
      <c r="AM85" s="1222"/>
      <c r="AN85" s="1222"/>
      <c r="AO85" s="1264">
        <v>11.94</v>
      </c>
      <c r="AP85" s="1265">
        <v>52.4</v>
      </c>
      <c r="AQ85" s="1221">
        <v>50</v>
      </c>
      <c r="AR85" s="1221">
        <f t="shared" si="12"/>
        <v>0.60377999999999998</v>
      </c>
      <c r="BG85" s="1221">
        <v>8030.95</v>
      </c>
      <c r="BH85" s="1221">
        <v>9644.8799999999992</v>
      </c>
      <c r="BI85" s="1221">
        <f t="shared" si="13"/>
        <v>1.2009637714093599</v>
      </c>
    </row>
    <row r="86" spans="1:78" ht="15" customHeight="1">
      <c r="A86" s="2465"/>
      <c r="B86" s="1222"/>
      <c r="C86" s="1223"/>
      <c r="D86" s="1223"/>
      <c r="E86" s="1222"/>
      <c r="F86" s="1222"/>
      <c r="G86" s="1270"/>
      <c r="H86" s="1270"/>
      <c r="I86" s="1270"/>
      <c r="J86" s="1270"/>
      <c r="K86" s="1222"/>
      <c r="L86" s="1270"/>
      <c r="M86" s="1226"/>
      <c r="N86" s="1222"/>
      <c r="O86" s="1222"/>
      <c r="P86" s="1270"/>
      <c r="Q86" s="1270"/>
      <c r="R86" s="1270"/>
      <c r="S86" s="1270"/>
      <c r="T86" s="1270"/>
      <c r="U86" s="1314" t="s">
        <v>1567</v>
      </c>
      <c r="V86" s="1226"/>
      <c r="W86" s="1222"/>
      <c r="X86" s="1222"/>
      <c r="Y86" s="1222"/>
      <c r="Z86" s="1222"/>
      <c r="AA86" s="1222"/>
      <c r="AB86" s="1226"/>
      <c r="AC86" s="1222"/>
      <c r="AD86" s="1222"/>
      <c r="AE86" s="1222"/>
      <c r="AF86" s="1222"/>
      <c r="AG86" s="1222"/>
      <c r="AH86" s="1226"/>
      <c r="AI86" s="1222"/>
      <c r="AJ86" s="1222"/>
      <c r="AK86" s="1222"/>
      <c r="AL86" s="1222"/>
      <c r="AM86" s="1222"/>
      <c r="AN86" s="1222"/>
      <c r="AO86" s="1264">
        <v>11.94</v>
      </c>
      <c r="AP86" s="1265">
        <v>52.4</v>
      </c>
      <c r="AQ86" s="1221">
        <v>60</v>
      </c>
      <c r="AR86" s="1221">
        <f t="shared" si="12"/>
        <v>0.59523333333333328</v>
      </c>
      <c r="BG86" s="1221">
        <v>10017.35</v>
      </c>
      <c r="BH86" s="1221">
        <v>12058.6</v>
      </c>
      <c r="BI86" s="1221">
        <f t="shared" si="13"/>
        <v>1.2037714565229327</v>
      </c>
    </row>
    <row r="87" spans="1:78" ht="15" customHeight="1">
      <c r="A87" s="2465"/>
      <c r="B87" s="1222"/>
      <c r="C87" s="1223"/>
      <c r="D87" s="1223"/>
      <c r="E87" s="1222"/>
      <c r="F87" s="1222"/>
      <c r="G87" s="1270"/>
      <c r="H87" s="1270"/>
      <c r="I87" s="1270"/>
      <c r="J87" s="1270"/>
      <c r="K87" s="1222"/>
      <c r="L87" s="1270"/>
      <c r="M87" s="1226"/>
      <c r="N87" s="1222"/>
      <c r="O87" s="1222"/>
      <c r="P87" s="1270"/>
      <c r="Q87" s="1270"/>
      <c r="R87" s="1270"/>
      <c r="S87" s="1270"/>
      <c r="T87" s="1270"/>
      <c r="U87" s="1226"/>
      <c r="V87" s="1226"/>
      <c r="W87" s="1222"/>
      <c r="X87" s="1222"/>
      <c r="Y87" s="1222"/>
      <c r="Z87" s="1222"/>
      <c r="AA87" s="1222"/>
      <c r="AB87" s="1226"/>
      <c r="AC87" s="1222"/>
      <c r="AD87" s="1222"/>
      <c r="AE87" s="1222"/>
      <c r="AF87" s="1222"/>
      <c r="AG87" s="1222"/>
      <c r="AH87" s="1226"/>
      <c r="AI87" s="1222"/>
      <c r="AJ87" s="1222"/>
      <c r="AK87" s="1222"/>
      <c r="AL87" s="1222"/>
      <c r="AM87" s="1222"/>
      <c r="AN87" s="1222"/>
      <c r="AO87" s="1226"/>
      <c r="AP87" s="1253"/>
      <c r="AQ87" s="1221">
        <v>75</v>
      </c>
      <c r="AR87" s="1221">
        <f t="shared" si="12"/>
        <v>0.47618666666666665</v>
      </c>
      <c r="BG87" s="1221">
        <v>12190.07</v>
      </c>
      <c r="BH87" s="1221">
        <v>14630.87</v>
      </c>
      <c r="BI87" s="1221">
        <f t="shared" si="13"/>
        <v>1.2002285466777469</v>
      </c>
    </row>
    <row r="88" spans="1:78" ht="15" customHeight="1">
      <c r="A88" s="2465"/>
      <c r="B88" s="1222"/>
      <c r="C88" s="1223"/>
      <c r="D88" s="1223"/>
      <c r="E88" s="1222"/>
      <c r="F88" s="1222"/>
      <c r="G88" s="1270"/>
      <c r="H88" s="1270"/>
      <c r="I88" s="1270"/>
      <c r="J88" s="1270"/>
      <c r="K88" s="1222"/>
      <c r="L88" s="1270"/>
      <c r="M88" s="1226"/>
      <c r="N88" s="1222"/>
      <c r="O88" s="1222"/>
      <c r="P88" s="1270"/>
      <c r="Q88" s="1270"/>
      <c r="R88" s="1270"/>
      <c r="S88" s="1270"/>
      <c r="T88" s="1270"/>
      <c r="U88" s="1226"/>
      <c r="V88" s="1226"/>
      <c r="W88" s="1222"/>
      <c r="X88" s="1222"/>
      <c r="Y88" s="1222"/>
      <c r="Z88" s="1222"/>
      <c r="AA88" s="1222"/>
      <c r="AB88" s="1226"/>
      <c r="AC88" s="1222"/>
      <c r="AD88" s="1222"/>
      <c r="AE88" s="1222"/>
      <c r="AF88" s="1222"/>
      <c r="AG88" s="1222"/>
      <c r="AH88" s="1226"/>
      <c r="AI88" s="1222"/>
      <c r="AJ88" s="1222"/>
      <c r="AK88" s="1222"/>
      <c r="AL88" s="1222"/>
      <c r="AM88" s="1222"/>
      <c r="AN88" s="1222"/>
      <c r="AO88" s="1226"/>
      <c r="AP88" s="1253"/>
      <c r="AQ88" s="1221">
        <v>100</v>
      </c>
      <c r="AR88" s="1221">
        <f t="shared" si="12"/>
        <v>0.4</v>
      </c>
      <c r="BG88" s="1221">
        <v>13586.32</v>
      </c>
      <c r="BH88" s="1221">
        <v>16138.62</v>
      </c>
      <c r="BI88" s="1221">
        <f t="shared" si="13"/>
        <v>1.1878580807753683</v>
      </c>
    </row>
    <row r="89" spans="1:78" ht="15" customHeight="1">
      <c r="A89" s="2465"/>
      <c r="B89" s="1222"/>
      <c r="C89" s="1223"/>
      <c r="D89" s="1223"/>
      <c r="E89" s="1222"/>
      <c r="F89" s="1222"/>
      <c r="G89" s="1270"/>
      <c r="H89" s="1270"/>
      <c r="I89" s="1270"/>
      <c r="J89" s="1270"/>
      <c r="K89" s="1222"/>
      <c r="L89" s="1270"/>
      <c r="M89" s="1226"/>
      <c r="N89" s="1222"/>
      <c r="O89" s="1222"/>
      <c r="P89" s="1270"/>
      <c r="Q89" s="1270"/>
      <c r="R89" s="1270"/>
      <c r="S89" s="1270"/>
      <c r="T89" s="1270"/>
      <c r="U89" s="1226"/>
      <c r="V89" s="1226"/>
      <c r="W89" s="1222"/>
      <c r="X89" s="1222"/>
      <c r="Y89" s="1222"/>
      <c r="Z89" s="1222"/>
      <c r="AA89" s="1222"/>
      <c r="AB89" s="1226"/>
      <c r="AC89" s="1222"/>
      <c r="AD89" s="1222"/>
      <c r="AE89" s="1222"/>
      <c r="AF89" s="1222"/>
      <c r="AG89" s="1222"/>
      <c r="AH89" s="1226"/>
      <c r="AI89" s="1222"/>
      <c r="AJ89" s="1222"/>
      <c r="AK89" s="1222"/>
      <c r="AL89" s="1222"/>
      <c r="AM89" s="1222"/>
      <c r="AN89" s="1222"/>
      <c r="AO89" s="1226"/>
      <c r="AP89" s="1253"/>
      <c r="AQ89" s="1221">
        <v>150</v>
      </c>
      <c r="AR89" s="1221">
        <f t="shared" si="12"/>
        <v>0.26666666666666666</v>
      </c>
      <c r="BG89" s="1221">
        <v>15551.8</v>
      </c>
      <c r="BH89" s="1221">
        <v>18494.099999999999</v>
      </c>
      <c r="BI89" s="1221">
        <f t="shared" si="13"/>
        <v>1.1891935338674622</v>
      </c>
    </row>
    <row r="90" spans="1:78" ht="15.75" customHeight="1">
      <c r="A90" s="2465"/>
      <c r="B90" s="1222"/>
      <c r="C90" s="1223"/>
      <c r="D90" s="1223"/>
      <c r="E90" s="1222"/>
      <c r="F90" s="1222"/>
      <c r="G90" s="1270"/>
      <c r="H90" s="1270"/>
      <c r="I90" s="1270"/>
      <c r="J90" s="1270"/>
      <c r="K90" s="1222"/>
      <c r="L90" s="1270"/>
      <c r="M90" s="1226"/>
      <c r="N90" s="1222"/>
      <c r="O90" s="1222"/>
      <c r="P90" s="1270"/>
      <c r="Q90" s="1270"/>
      <c r="R90" s="1270"/>
      <c r="S90" s="1270"/>
      <c r="T90" s="1270"/>
      <c r="U90" s="1226"/>
      <c r="V90" s="1226"/>
      <c r="W90" s="1222"/>
      <c r="X90" s="1222"/>
      <c r="Y90" s="1222"/>
      <c r="Z90" s="1222"/>
      <c r="AA90" s="1222"/>
      <c r="AB90" s="1226"/>
      <c r="AC90" s="1222"/>
      <c r="AD90" s="1222"/>
      <c r="AE90" s="1222"/>
      <c r="AF90" s="1222"/>
      <c r="AG90" s="1222"/>
      <c r="AH90" s="1226"/>
      <c r="AI90" s="1222"/>
      <c r="AJ90" s="1222"/>
      <c r="AK90" s="1222"/>
      <c r="AL90" s="1222"/>
      <c r="AM90" s="1222"/>
      <c r="AN90" s="1222"/>
      <c r="AO90" s="1226"/>
      <c r="AP90" s="1253"/>
      <c r="AQ90" s="1221">
        <v>200</v>
      </c>
      <c r="AR90" s="1221">
        <f t="shared" si="12"/>
        <v>0.238095</v>
      </c>
      <c r="BG90" s="1221">
        <v>17003.900000000001</v>
      </c>
      <c r="BH90" s="1221">
        <v>20057.900000000001</v>
      </c>
      <c r="BI90" s="1221">
        <f t="shared" si="13"/>
        <v>1.1796058551273532</v>
      </c>
    </row>
    <row r="91" spans="1:78" ht="9" customHeight="1">
      <c r="A91" s="2465"/>
      <c r="B91" s="1222"/>
      <c r="C91" s="1223"/>
      <c r="D91" s="1223"/>
      <c r="E91" s="1222"/>
      <c r="F91" s="1222"/>
      <c r="G91" s="1270"/>
      <c r="H91" s="1270"/>
      <c r="I91" s="1270"/>
      <c r="J91" s="1270"/>
      <c r="K91" s="1222"/>
      <c r="L91" s="1270"/>
      <c r="M91" s="1226"/>
      <c r="N91" s="1222"/>
      <c r="O91" s="1222"/>
      <c r="P91" s="1270"/>
      <c r="Q91" s="1270"/>
      <c r="R91" s="1270"/>
      <c r="S91" s="1270"/>
      <c r="T91" s="1270"/>
      <c r="U91" s="1226"/>
      <c r="V91" s="1226"/>
      <c r="W91" s="1222"/>
      <c r="X91" s="1222"/>
      <c r="Y91" s="1222"/>
      <c r="Z91" s="1222"/>
      <c r="AA91" s="1222"/>
      <c r="AB91" s="1226"/>
      <c r="AC91" s="1222"/>
      <c r="AD91" s="1222"/>
      <c r="AE91" s="1222"/>
      <c r="AF91" s="1222"/>
      <c r="AG91" s="1222"/>
      <c r="AH91" s="1226"/>
      <c r="AI91" s="1222"/>
      <c r="AJ91" s="1222"/>
      <c r="AK91" s="1222"/>
      <c r="AL91" s="1222"/>
      <c r="AM91" s="1222"/>
      <c r="AN91" s="1222"/>
      <c r="AO91" s="1226"/>
      <c r="AP91" s="1253"/>
      <c r="BI91" s="1221">
        <f>AVERAGE(BI80:BI90)</f>
        <v>1.207066078068308</v>
      </c>
    </row>
    <row r="92" spans="1:78" ht="15" customHeight="1" thickBot="1">
      <c r="A92" s="2496"/>
      <c r="B92" s="1222"/>
      <c r="C92" s="1223"/>
      <c r="D92" s="1223"/>
      <c r="E92" s="1222"/>
      <c r="F92" s="1222"/>
      <c r="G92" s="1270"/>
      <c r="H92" s="1270"/>
      <c r="I92" s="1270"/>
      <c r="J92" s="1270"/>
      <c r="K92" s="1222"/>
      <c r="L92" s="1270"/>
      <c r="M92" s="1226"/>
      <c r="N92" s="1222"/>
      <c r="O92" s="1222"/>
      <c r="P92" s="1270"/>
      <c r="Q92" s="1270"/>
      <c r="R92" s="1270"/>
      <c r="S92" s="1270"/>
      <c r="T92" s="1270"/>
      <c r="U92" s="1226"/>
      <c r="V92" s="1226"/>
      <c r="W92" s="1222"/>
      <c r="X92" s="1222"/>
      <c r="Y92" s="1222"/>
      <c r="Z92" s="1222"/>
      <c r="AA92" s="1222"/>
      <c r="AB92" s="1226"/>
      <c r="AC92" s="1222"/>
      <c r="AD92" s="1222"/>
      <c r="AE92" s="1222"/>
      <c r="AF92" s="1222"/>
      <c r="AG92" s="1222"/>
      <c r="AH92" s="1226"/>
      <c r="AI92" s="1222"/>
      <c r="AJ92" s="1222"/>
      <c r="AK92" s="1222"/>
      <c r="AL92" s="1222"/>
      <c r="AM92" s="1222"/>
      <c r="AN92" s="1222"/>
      <c r="AO92" s="1226"/>
      <c r="AP92" s="1253"/>
      <c r="AQ92" s="1221">
        <v>3</v>
      </c>
      <c r="AR92" s="1221">
        <f>AO83/AQ92</f>
        <v>3.3333333333333335</v>
      </c>
      <c r="AS92" s="1221" t="s">
        <v>398</v>
      </c>
      <c r="AT92" s="1221">
        <f>AVERAGE(AR92:AR92)</f>
        <v>3.3333333333333335</v>
      </c>
    </row>
    <row r="93" spans="1:78" s="1221" customFormat="1" ht="15" customHeight="1">
      <c r="A93" s="2479" t="s">
        <v>544</v>
      </c>
      <c r="B93" s="1297" t="s">
        <v>1570</v>
      </c>
      <c r="C93" s="1298" t="s">
        <v>1505</v>
      </c>
      <c r="D93" s="1298" t="s">
        <v>1490</v>
      </c>
      <c r="E93" s="1299">
        <f>SUM(AH94:AH97)/5</f>
        <v>6.2707664467070101</v>
      </c>
      <c r="F93" s="1299" t="s">
        <v>1572</v>
      </c>
      <c r="G93" s="1301"/>
      <c r="H93" s="2490">
        <f>E93*G94</f>
        <v>443.28414853079084</v>
      </c>
      <c r="I93" s="1258">
        <f>AL96/5</f>
        <v>11.746917185196114</v>
      </c>
      <c r="J93" s="1301">
        <f>AL93</f>
        <v>598.37801194433382</v>
      </c>
      <c r="K93" s="2488">
        <f>K106</f>
        <v>0.27500000000000002</v>
      </c>
      <c r="L93" s="2477">
        <f>((E93*G94)+I93+I95)*(1+K93)</f>
        <v>898.87362664502621</v>
      </c>
      <c r="M93" s="1319" t="s">
        <v>1433</v>
      </c>
      <c r="N93" s="1309" t="s">
        <v>1573</v>
      </c>
      <c r="O93" s="1367">
        <f>AR113</f>
        <v>5.3334000000000001</v>
      </c>
      <c r="P93" s="1301">
        <f>AP98*BQ22</f>
        <v>59.037135639469774</v>
      </c>
      <c r="Q93" s="1301">
        <f>O93*P93</f>
        <v>314.86865921954808</v>
      </c>
      <c r="R93" s="1301"/>
      <c r="S93" s="1301"/>
      <c r="T93" s="1307">
        <f>O93*P93</f>
        <v>314.86865921954808</v>
      </c>
      <c r="U93" s="1314" t="s">
        <v>1496</v>
      </c>
      <c r="V93" s="1226"/>
      <c r="W93" s="1222"/>
      <c r="X93" s="1222"/>
      <c r="Y93" s="1222"/>
      <c r="Z93" s="1222"/>
      <c r="AA93" s="1222"/>
      <c r="AB93" s="1226"/>
      <c r="AC93" s="1222"/>
      <c r="AD93" s="1222"/>
      <c r="AE93" s="1222"/>
      <c r="AF93" s="1222"/>
      <c r="AG93" s="1222"/>
      <c r="AH93" s="1264"/>
      <c r="AI93" s="1309"/>
      <c r="AJ93" s="1309"/>
      <c r="AK93" s="1309"/>
      <c r="AL93" s="1320">
        <v>598.37801194433382</v>
      </c>
      <c r="AM93" s="1320">
        <v>83.262110419695929</v>
      </c>
      <c r="AN93" s="1321">
        <v>37</v>
      </c>
      <c r="AO93" s="1226"/>
      <c r="AP93" s="1253"/>
      <c r="BJ93" s="95"/>
      <c r="BK93" s="153"/>
      <c r="BL93" s="153"/>
      <c r="BM93" s="153"/>
      <c r="BN93" s="153"/>
      <c r="BO93" s="153"/>
      <c r="BP93" s="153"/>
      <c r="BQ93" s="153"/>
      <c r="BR93" s="153"/>
      <c r="BS93" s="153"/>
      <c r="BT93" s="153"/>
      <c r="BU93" s="95"/>
      <c r="BV93" s="95"/>
      <c r="BW93" s="95"/>
      <c r="BX93" s="95"/>
      <c r="BY93" s="95"/>
      <c r="BZ93" s="95"/>
    </row>
    <row r="94" spans="1:78" s="1221" customFormat="1" ht="15" customHeight="1">
      <c r="A94" s="2480"/>
      <c r="B94" s="1313" t="s">
        <v>1574</v>
      </c>
      <c r="C94" s="1298" t="s">
        <v>1505</v>
      </c>
      <c r="D94" s="1314" t="s">
        <v>1495</v>
      </c>
      <c r="E94" s="1326"/>
      <c r="F94" s="1356"/>
      <c r="G94" s="1260">
        <f>G107</f>
        <v>70.690585002344363</v>
      </c>
      <c r="H94" s="2491"/>
      <c r="I94" s="1259"/>
      <c r="J94" s="1360"/>
      <c r="K94" s="2489"/>
      <c r="L94" s="2478"/>
      <c r="M94" s="1361" t="s">
        <v>1473</v>
      </c>
      <c r="N94" s="1362"/>
      <c r="O94" s="1364">
        <v>5.27</v>
      </c>
      <c r="P94" s="1279">
        <v>67.88</v>
      </c>
      <c r="Q94" s="1301">
        <f>O94*P94</f>
        <v>357.72759999999994</v>
      </c>
      <c r="R94" s="1260"/>
      <c r="S94" s="1260"/>
      <c r="T94" s="1276">
        <f>O94*P94</f>
        <v>357.72759999999994</v>
      </c>
      <c r="U94" s="1314" t="s">
        <v>1498</v>
      </c>
      <c r="V94" s="1226"/>
      <c r="W94" s="1222"/>
      <c r="X94" s="1222"/>
      <c r="Y94" s="1222"/>
      <c r="Z94" s="1222"/>
      <c r="AA94" s="1222"/>
      <c r="AB94" s="1226"/>
      <c r="AC94" s="1222"/>
      <c r="AD94" s="1222"/>
      <c r="AE94" s="1222"/>
      <c r="AF94" s="1222"/>
      <c r="AG94" s="1222"/>
      <c r="AH94" s="1323">
        <v>15.413378960220149</v>
      </c>
      <c r="AI94" s="1320">
        <v>1.7537874671635258</v>
      </c>
      <c r="AJ94" s="1324">
        <v>36</v>
      </c>
      <c r="AK94" s="1309"/>
      <c r="AL94" s="1318"/>
      <c r="AM94" s="1318"/>
      <c r="AN94" s="1325"/>
      <c r="AO94" s="1226"/>
      <c r="AP94" s="1253"/>
      <c r="BJ94" s="95"/>
      <c r="BK94" s="153"/>
      <c r="BL94" s="153"/>
      <c r="BM94" s="153"/>
      <c r="BN94" s="153"/>
      <c r="BO94" s="153"/>
      <c r="BP94" s="153"/>
      <c r="BQ94" s="153"/>
      <c r="BR94" s="153"/>
      <c r="BS94" s="153"/>
      <c r="BT94" s="153"/>
      <c r="BU94" s="95"/>
      <c r="BV94" s="95"/>
      <c r="BW94" s="95"/>
      <c r="BX94" s="95"/>
      <c r="BY94" s="95"/>
      <c r="BZ94" s="95"/>
    </row>
    <row r="95" spans="1:78" s="1221" customFormat="1" ht="15" customHeight="1">
      <c r="A95" s="2480"/>
      <c r="B95" s="1313" t="s">
        <v>1575</v>
      </c>
      <c r="C95" s="1314" t="s">
        <v>1505</v>
      </c>
      <c r="D95" s="1314" t="s">
        <v>1495</v>
      </c>
      <c r="E95" s="1315"/>
      <c r="F95" s="1316"/>
      <c r="G95" s="1301"/>
      <c r="H95" s="1301"/>
      <c r="I95" s="1260">
        <f>AVERAGE(R108:R110)</f>
        <v>249.96785714285716</v>
      </c>
      <c r="J95" s="1301"/>
      <c r="K95" s="1301"/>
      <c r="L95" s="2492"/>
      <c r="M95" s="1226"/>
      <c r="N95" s="1222"/>
      <c r="O95" s="1222"/>
      <c r="P95" s="1270"/>
      <c r="Q95" s="1270"/>
      <c r="R95" s="1270"/>
      <c r="S95" s="1270"/>
      <c r="T95" s="1327"/>
      <c r="U95" s="1314" t="s">
        <v>1501</v>
      </c>
      <c r="V95" s="1226"/>
      <c r="W95" s="1222"/>
      <c r="X95" s="1222"/>
      <c r="Y95" s="1222"/>
      <c r="Z95" s="1222"/>
      <c r="AA95" s="1222"/>
      <c r="AB95" s="1226"/>
      <c r="AC95" s="1222"/>
      <c r="AD95" s="1222"/>
      <c r="AE95" s="1222"/>
      <c r="AF95" s="1222"/>
      <c r="AG95" s="1222"/>
      <c r="AH95" s="1323">
        <v>12.64460873851313</v>
      </c>
      <c r="AI95" s="1320">
        <v>2.2565962999331441</v>
      </c>
      <c r="AJ95" s="1324">
        <v>37</v>
      </c>
      <c r="AK95" s="1309"/>
      <c r="AL95" s="1318"/>
      <c r="AM95" s="1318"/>
      <c r="AN95" s="1325"/>
      <c r="AO95" s="1226"/>
      <c r="AP95" s="1253"/>
      <c r="BJ95" s="95"/>
      <c r="BK95" s="153"/>
      <c r="BL95" s="153"/>
      <c r="BM95" s="153"/>
      <c r="BN95" s="153"/>
      <c r="BO95" s="153"/>
      <c r="BP95" s="153"/>
      <c r="BQ95" s="153"/>
      <c r="BR95" s="153"/>
      <c r="BS95" s="153"/>
      <c r="BT95" s="153"/>
      <c r="BU95" s="95"/>
      <c r="BV95" s="95"/>
      <c r="BW95" s="95"/>
      <c r="BX95" s="95"/>
      <c r="BY95" s="95"/>
      <c r="BZ95" s="95"/>
    </row>
    <row r="96" spans="1:78" s="1221" customFormat="1" ht="15" customHeight="1">
      <c r="A96" s="2480"/>
      <c r="B96" s="1226"/>
      <c r="C96" s="1223"/>
      <c r="D96" s="1223"/>
      <c r="E96" s="1222"/>
      <c r="F96" s="1222"/>
      <c r="G96" s="1270"/>
      <c r="H96" s="1270"/>
      <c r="I96" s="1270"/>
      <c r="J96" s="1270"/>
      <c r="K96" s="1222"/>
      <c r="L96" s="1336"/>
      <c r="M96" s="1226"/>
      <c r="N96" s="1222"/>
      <c r="O96" s="1222"/>
      <c r="P96" s="1270"/>
      <c r="Q96" s="1270"/>
      <c r="R96" s="1270"/>
      <c r="S96" s="1270"/>
      <c r="T96" s="1336"/>
      <c r="U96" s="1314" t="s">
        <v>1502</v>
      </c>
      <c r="V96" s="1226"/>
      <c r="W96" s="1222"/>
      <c r="X96" s="1222"/>
      <c r="Y96" s="1222"/>
      <c r="Z96" s="1222"/>
      <c r="AA96" s="1222"/>
      <c r="AB96" s="1226"/>
      <c r="AC96" s="1222"/>
      <c r="AD96" s="1222"/>
      <c r="AE96" s="1222"/>
      <c r="AF96" s="1222"/>
      <c r="AG96" s="1222"/>
      <c r="AH96" s="1328"/>
      <c r="AI96" s="1318"/>
      <c r="AJ96" s="1309"/>
      <c r="AK96" s="1309"/>
      <c r="AL96" s="1320">
        <v>58.734585925980568</v>
      </c>
      <c r="AM96" s="1320">
        <v>12.720092983023894</v>
      </c>
      <c r="AN96" s="1321">
        <v>33</v>
      </c>
      <c r="AO96" s="1226"/>
      <c r="AP96" s="1253"/>
      <c r="BJ96" s="95"/>
      <c r="BK96" s="153"/>
      <c r="BL96" s="153"/>
      <c r="BM96" s="153"/>
      <c r="BN96" s="153"/>
      <c r="BO96" s="153"/>
      <c r="BP96" s="153"/>
      <c r="BQ96" s="153"/>
      <c r="BR96" s="153"/>
      <c r="BS96" s="153"/>
      <c r="BT96" s="153"/>
      <c r="BU96" s="95"/>
      <c r="BV96" s="95"/>
      <c r="BW96" s="95"/>
      <c r="BX96" s="95"/>
      <c r="BY96" s="95"/>
      <c r="BZ96" s="95"/>
    </row>
    <row r="97" spans="1:78" s="1221" customFormat="1" ht="15" customHeight="1">
      <c r="A97" s="2480"/>
      <c r="B97" s="1226"/>
      <c r="C97" s="1223"/>
      <c r="D97" s="1223"/>
      <c r="E97" s="1222"/>
      <c r="F97" s="1222"/>
      <c r="G97" s="1270"/>
      <c r="H97" s="1270"/>
      <c r="I97" s="1270"/>
      <c r="J97" s="1270"/>
      <c r="K97" s="1222"/>
      <c r="L97" s="1336"/>
      <c r="M97" s="1226"/>
      <c r="N97" s="1222"/>
      <c r="O97" s="1222"/>
      <c r="P97" s="1270"/>
      <c r="Q97" s="1270"/>
      <c r="R97" s="1270"/>
      <c r="S97" s="1270"/>
      <c r="T97" s="1336"/>
      <c r="U97" s="1314" t="s">
        <v>1503</v>
      </c>
      <c r="V97" s="1226"/>
      <c r="W97" s="1222"/>
      <c r="X97" s="1222"/>
      <c r="Y97" s="1222"/>
      <c r="Z97" s="1222"/>
      <c r="AA97" s="1222"/>
      <c r="AB97" s="1226"/>
      <c r="AC97" s="1222"/>
      <c r="AD97" s="1222"/>
      <c r="AE97" s="1222"/>
      <c r="AF97" s="1222"/>
      <c r="AG97" s="1222"/>
      <c r="AH97" s="1323">
        <v>3.2958445348017729</v>
      </c>
      <c r="AI97" s="1320">
        <v>0.48883173265428237</v>
      </c>
      <c r="AJ97" s="1324">
        <v>36</v>
      </c>
      <c r="AK97" s="1309"/>
      <c r="AL97" s="1309"/>
      <c r="AM97" s="1309"/>
      <c r="AN97" s="1325"/>
      <c r="AO97" s="1226"/>
      <c r="AP97" s="1253"/>
      <c r="BJ97" s="95"/>
      <c r="BK97" s="153"/>
      <c r="BL97" s="153"/>
      <c r="BM97" s="153"/>
      <c r="BN97" s="153"/>
      <c r="BO97" s="153"/>
      <c r="BP97" s="153"/>
      <c r="BQ97" s="153"/>
      <c r="BR97" s="153"/>
      <c r="BS97" s="153"/>
      <c r="BT97" s="153"/>
      <c r="BU97" s="95"/>
      <c r="BV97" s="95"/>
      <c r="BW97" s="95"/>
      <c r="BX97" s="95"/>
      <c r="BY97" s="95"/>
      <c r="BZ97" s="95"/>
    </row>
    <row r="98" spans="1:78" s="1221" customFormat="1" ht="15" customHeight="1">
      <c r="A98" s="2480"/>
      <c r="B98" s="1226"/>
      <c r="C98" s="1223"/>
      <c r="D98" s="1223"/>
      <c r="E98" s="1222"/>
      <c r="F98" s="1222"/>
      <c r="G98" s="1270"/>
      <c r="H98" s="1270"/>
      <c r="I98" s="1270"/>
      <c r="J98" s="1270"/>
      <c r="K98" s="1222"/>
      <c r="L98" s="1336"/>
      <c r="M98" s="1226"/>
      <c r="N98" s="1222"/>
      <c r="O98" s="1222"/>
      <c r="P98" s="1270"/>
      <c r="Q98" s="1270"/>
      <c r="R98" s="1270"/>
      <c r="S98" s="1270"/>
      <c r="T98" s="1336"/>
      <c r="U98" s="1314" t="s">
        <v>1576</v>
      </c>
      <c r="V98" s="1226"/>
      <c r="W98" s="1222"/>
      <c r="X98" s="1222"/>
      <c r="Y98" s="1222"/>
      <c r="Z98" s="1222"/>
      <c r="AA98" s="1222"/>
      <c r="AB98" s="1226"/>
      <c r="AC98" s="1222"/>
      <c r="AD98" s="1222"/>
      <c r="AE98" s="1222"/>
      <c r="AF98" s="1222"/>
      <c r="AG98" s="1222"/>
      <c r="AH98" s="1226"/>
      <c r="AI98" s="1222"/>
      <c r="AJ98" s="1222"/>
      <c r="AK98" s="1222"/>
      <c r="AL98" s="1222"/>
      <c r="AM98" s="1222"/>
      <c r="AN98" s="1222"/>
      <c r="AO98" s="1282">
        <v>6.4</v>
      </c>
      <c r="AP98" s="1283">
        <v>50.98</v>
      </c>
      <c r="BJ98" s="95"/>
      <c r="BK98" s="153"/>
      <c r="BL98" s="153"/>
      <c r="BM98" s="153"/>
      <c r="BN98" s="153"/>
      <c r="BO98" s="153"/>
      <c r="BP98" s="153"/>
      <c r="BQ98" s="153"/>
      <c r="BR98" s="153"/>
      <c r="BS98" s="153"/>
      <c r="BT98" s="153"/>
      <c r="BU98" s="95"/>
      <c r="BV98" s="95"/>
      <c r="BW98" s="95"/>
      <c r="BX98" s="95"/>
      <c r="BY98" s="95"/>
      <c r="BZ98" s="95"/>
    </row>
    <row r="99" spans="1:78" s="1221" customFormat="1" ht="15" customHeight="1">
      <c r="A99" s="2480"/>
      <c r="B99" s="1226"/>
      <c r="C99" s="1223"/>
      <c r="D99" s="1223"/>
      <c r="E99" s="1222"/>
      <c r="F99" s="1222"/>
      <c r="G99" s="1270"/>
      <c r="H99" s="1270"/>
      <c r="I99" s="1270"/>
      <c r="J99" s="1270"/>
      <c r="K99" s="1222"/>
      <c r="L99" s="1336"/>
      <c r="M99" s="1226"/>
      <c r="N99" s="1222"/>
      <c r="O99" s="1222"/>
      <c r="P99" s="1270"/>
      <c r="Q99" s="1270"/>
      <c r="R99" s="1270"/>
      <c r="S99" s="1270"/>
      <c r="T99" s="1336"/>
      <c r="U99" s="1314" t="s">
        <v>1577</v>
      </c>
      <c r="V99" s="1226"/>
      <c r="W99" s="1222"/>
      <c r="X99" s="1222"/>
      <c r="Y99" s="1222"/>
      <c r="Z99" s="1222"/>
      <c r="AA99" s="1222"/>
      <c r="AB99" s="1226"/>
      <c r="AC99" s="1222"/>
      <c r="AD99" s="1222"/>
      <c r="AE99" s="1222"/>
      <c r="AF99" s="1222"/>
      <c r="AG99" s="1222"/>
      <c r="AH99" s="1226"/>
      <c r="AI99" s="1222"/>
      <c r="AJ99" s="1222"/>
      <c r="AK99" s="1222"/>
      <c r="AL99" s="1222"/>
      <c r="AM99" s="1222"/>
      <c r="AN99" s="1222"/>
      <c r="AO99" s="1282">
        <v>7.6189999999999998</v>
      </c>
      <c r="AP99" s="1283">
        <v>50.98</v>
      </c>
      <c r="BJ99" s="95"/>
      <c r="BK99" s="153"/>
      <c r="BL99" s="153"/>
      <c r="BM99" s="153"/>
      <c r="BN99" s="153"/>
      <c r="BO99" s="153"/>
      <c r="BP99" s="153"/>
      <c r="BQ99" s="153"/>
      <c r="BR99" s="153"/>
      <c r="BS99" s="153"/>
      <c r="BT99" s="153"/>
      <c r="BU99" s="95"/>
      <c r="BV99" s="95"/>
      <c r="BW99" s="95"/>
      <c r="BX99" s="95"/>
      <c r="BY99" s="95"/>
      <c r="BZ99" s="95"/>
    </row>
    <row r="100" spans="1:78" s="1221" customFormat="1" ht="15" customHeight="1">
      <c r="A100" s="2480"/>
      <c r="B100" s="1226"/>
      <c r="C100" s="1223"/>
      <c r="D100" s="1223"/>
      <c r="E100" s="1222"/>
      <c r="F100" s="1222"/>
      <c r="G100" s="1270"/>
      <c r="H100" s="1270"/>
      <c r="I100" s="1270"/>
      <c r="J100" s="1270"/>
      <c r="K100" s="1222"/>
      <c r="L100" s="1336"/>
      <c r="M100" s="1226"/>
      <c r="N100" s="1222"/>
      <c r="O100" s="1222"/>
      <c r="P100" s="1270"/>
      <c r="Q100" s="1270"/>
      <c r="R100" s="1270"/>
      <c r="S100" s="1270"/>
      <c r="T100" s="1336"/>
      <c r="U100" s="1314" t="s">
        <v>1578</v>
      </c>
      <c r="V100" s="1226"/>
      <c r="W100" s="1222"/>
      <c r="X100" s="1222"/>
      <c r="Y100" s="1222"/>
      <c r="Z100" s="1222"/>
      <c r="AA100" s="1222"/>
      <c r="AB100" s="1226"/>
      <c r="AC100" s="1222"/>
      <c r="AD100" s="1222"/>
      <c r="AE100" s="1222"/>
      <c r="AF100" s="1222"/>
      <c r="AG100" s="1222"/>
      <c r="AH100" s="1226"/>
      <c r="AI100" s="1222"/>
      <c r="AJ100" s="1222"/>
      <c r="AK100" s="1222"/>
      <c r="AL100" s="1222"/>
      <c r="AM100" s="1222"/>
      <c r="AN100" s="1222"/>
      <c r="AO100" s="1282">
        <v>9.4120000000000008</v>
      </c>
      <c r="AP100" s="1283">
        <v>50.98</v>
      </c>
      <c r="BJ100" s="95"/>
      <c r="BK100" s="153"/>
      <c r="BL100" s="153"/>
      <c r="BM100" s="153"/>
      <c r="BN100" s="153"/>
      <c r="BO100" s="153"/>
      <c r="BP100" s="153"/>
      <c r="BQ100" s="153"/>
      <c r="BR100" s="153"/>
      <c r="BS100" s="153"/>
      <c r="BT100" s="153"/>
      <c r="BU100" s="95"/>
      <c r="BV100" s="95"/>
      <c r="BW100" s="95"/>
      <c r="BX100" s="95"/>
      <c r="BY100" s="95"/>
      <c r="BZ100" s="95"/>
    </row>
    <row r="101" spans="1:78" s="1221" customFormat="1" ht="9" customHeight="1">
      <c r="A101" s="2480"/>
      <c r="B101" s="1226"/>
      <c r="C101" s="1223"/>
      <c r="D101" s="1223"/>
      <c r="E101" s="1222"/>
      <c r="F101" s="1222"/>
      <c r="G101" s="1270"/>
      <c r="H101" s="1270"/>
      <c r="I101" s="1270"/>
      <c r="J101" s="1270"/>
      <c r="K101" s="1222"/>
      <c r="L101" s="1336"/>
      <c r="M101" s="1226"/>
      <c r="N101" s="1222"/>
      <c r="O101" s="1222"/>
      <c r="P101" s="1270"/>
      <c r="Q101" s="1270"/>
      <c r="R101" s="1270"/>
      <c r="S101" s="1270"/>
      <c r="T101" s="1336"/>
      <c r="U101" s="1314" t="s">
        <v>1579</v>
      </c>
      <c r="V101" s="1226"/>
      <c r="W101" s="1222"/>
      <c r="X101" s="1222"/>
      <c r="Y101" s="1222"/>
      <c r="Z101" s="1222"/>
      <c r="AA101" s="1222"/>
      <c r="AB101" s="1226"/>
      <c r="AC101" s="1222"/>
      <c r="AD101" s="1222"/>
      <c r="AE101" s="1222"/>
      <c r="AF101" s="1222"/>
      <c r="AG101" s="1222"/>
      <c r="AH101" s="1226"/>
      <c r="AI101" s="1222"/>
      <c r="AJ101" s="1222"/>
      <c r="AK101" s="1222"/>
      <c r="AL101" s="1222"/>
      <c r="AM101" s="1222"/>
      <c r="AN101" s="1222"/>
      <c r="AO101" s="1264">
        <v>12.308</v>
      </c>
      <c r="AP101" s="1283">
        <v>50.98</v>
      </c>
      <c r="BJ101" s="95"/>
      <c r="BK101" s="153"/>
      <c r="BL101" s="153"/>
      <c r="BM101" s="153"/>
      <c r="BN101" s="153"/>
      <c r="BO101" s="153"/>
      <c r="BP101" s="153"/>
      <c r="BQ101" s="153"/>
      <c r="BR101" s="153"/>
      <c r="BS101" s="153"/>
      <c r="BT101" s="153"/>
      <c r="BU101" s="95"/>
      <c r="BV101" s="95"/>
      <c r="BW101" s="95"/>
      <c r="BX101" s="95"/>
      <c r="BY101" s="95"/>
      <c r="BZ101" s="95"/>
    </row>
    <row r="102" spans="1:78" s="1221" customFormat="1" ht="15" customHeight="1">
      <c r="A102" s="2480"/>
      <c r="B102" s="1226"/>
      <c r="C102" s="1223"/>
      <c r="D102" s="1223"/>
      <c r="E102" s="1222"/>
      <c r="F102" s="1222"/>
      <c r="G102" s="1270"/>
      <c r="H102" s="1270"/>
      <c r="I102" s="1270"/>
      <c r="J102" s="1270"/>
      <c r="K102" s="1222"/>
      <c r="L102" s="1336"/>
      <c r="M102" s="1226"/>
      <c r="N102" s="1222"/>
      <c r="O102" s="1222"/>
      <c r="P102" s="1270"/>
      <c r="Q102" s="1270"/>
      <c r="R102" s="1270"/>
      <c r="S102" s="1270"/>
      <c r="T102" s="1336"/>
      <c r="U102" s="1314" t="s">
        <v>1580</v>
      </c>
      <c r="V102" s="1226"/>
      <c r="W102" s="1222"/>
      <c r="X102" s="1222"/>
      <c r="Y102" s="1222"/>
      <c r="Z102" s="1222"/>
      <c r="AA102" s="1222"/>
      <c r="AB102" s="1226"/>
      <c r="AC102" s="1222"/>
      <c r="AD102" s="1222"/>
      <c r="AE102" s="1222"/>
      <c r="AF102" s="1222"/>
      <c r="AG102" s="1222"/>
      <c r="AH102" s="1226"/>
      <c r="AI102" s="1222"/>
      <c r="AJ102" s="1222"/>
      <c r="AK102" s="1222"/>
      <c r="AL102" s="1222"/>
      <c r="AM102" s="1222"/>
      <c r="AN102" s="1222"/>
      <c r="AO102" s="1264">
        <v>14.545</v>
      </c>
      <c r="AP102" s="1283">
        <v>50.98</v>
      </c>
      <c r="BF102" s="1221" t="s">
        <v>1571</v>
      </c>
      <c r="BJ102" s="95"/>
      <c r="BK102" s="153"/>
      <c r="BL102" s="153"/>
      <c r="BM102" s="153"/>
      <c r="BN102" s="153"/>
      <c r="BO102" s="153"/>
      <c r="BP102" s="153"/>
      <c r="BQ102" s="153"/>
      <c r="BR102" s="153"/>
      <c r="BS102" s="153"/>
      <c r="BT102" s="153"/>
      <c r="BU102" s="95"/>
      <c r="BV102" s="95"/>
      <c r="BW102" s="95"/>
      <c r="BX102" s="95"/>
      <c r="BY102" s="95"/>
      <c r="BZ102" s="95"/>
    </row>
    <row r="103" spans="1:78" s="1221" customFormat="1" ht="15" customHeight="1">
      <c r="A103" s="2480"/>
      <c r="B103" s="1226"/>
      <c r="C103" s="1223"/>
      <c r="D103" s="1223"/>
      <c r="E103" s="1222"/>
      <c r="F103" s="1222"/>
      <c r="G103" s="1270"/>
      <c r="H103" s="1270"/>
      <c r="I103" s="1270"/>
      <c r="J103" s="1270"/>
      <c r="K103" s="1222"/>
      <c r="L103" s="1336"/>
      <c r="M103" s="1226"/>
      <c r="N103" s="1222"/>
      <c r="O103" s="1222"/>
      <c r="P103" s="1270"/>
      <c r="Q103" s="1270"/>
      <c r="R103" s="1270"/>
      <c r="S103" s="1270"/>
      <c r="T103" s="1336"/>
      <c r="U103" s="1314" t="s">
        <v>1581</v>
      </c>
      <c r="V103" s="1226"/>
      <c r="W103" s="1222"/>
      <c r="X103" s="1222"/>
      <c r="Y103" s="1222"/>
      <c r="Z103" s="1222"/>
      <c r="AA103" s="1222"/>
      <c r="AB103" s="1226"/>
      <c r="AC103" s="1222"/>
      <c r="AD103" s="1222"/>
      <c r="AE103" s="1222"/>
      <c r="AF103" s="1222"/>
      <c r="AG103" s="1222"/>
      <c r="AH103" s="1226"/>
      <c r="AI103" s="1222"/>
      <c r="AJ103" s="1222"/>
      <c r="AK103" s="1222"/>
      <c r="AL103" s="1222"/>
      <c r="AM103" s="1222"/>
      <c r="AN103" s="1222"/>
      <c r="AO103" s="1264">
        <v>17.777999999999999</v>
      </c>
      <c r="AP103" s="1283">
        <v>50.98</v>
      </c>
      <c r="BD103" s="1221">
        <v>1902.25</v>
      </c>
      <c r="BE103" s="1221">
        <v>2315.08</v>
      </c>
      <c r="BF103" s="1221">
        <f>BE103/BD103</f>
        <v>1.2170219476935209</v>
      </c>
      <c r="BJ103" s="95"/>
      <c r="BK103" s="153"/>
      <c r="BL103" s="153"/>
      <c r="BM103" s="153"/>
      <c r="BN103" s="153"/>
      <c r="BO103" s="153"/>
      <c r="BP103" s="153"/>
      <c r="BQ103" s="153"/>
      <c r="BR103" s="153"/>
      <c r="BS103" s="153"/>
      <c r="BT103" s="153"/>
      <c r="BU103" s="95"/>
      <c r="BV103" s="95"/>
      <c r="BW103" s="95"/>
      <c r="BX103" s="95"/>
      <c r="BY103" s="95"/>
      <c r="BZ103" s="95"/>
    </row>
    <row r="104" spans="1:78" s="1221" customFormat="1" ht="18.600000000000001" thickBot="1">
      <c r="A104" s="1293"/>
      <c r="B104" s="1226"/>
      <c r="C104" s="1223"/>
      <c r="D104" s="1223"/>
      <c r="E104" s="1222"/>
      <c r="F104" s="1222"/>
      <c r="G104" s="1270"/>
      <c r="H104" s="1270"/>
      <c r="I104" s="1270"/>
      <c r="J104" s="1270"/>
      <c r="K104" s="1222"/>
      <c r="L104" s="1336"/>
      <c r="M104" s="1226"/>
      <c r="N104" s="1222"/>
      <c r="O104" s="1222"/>
      <c r="P104" s="1270"/>
      <c r="Q104" s="1270"/>
      <c r="R104" s="1270"/>
      <c r="S104" s="1270"/>
      <c r="T104" s="1336"/>
      <c r="U104" s="1314" t="s">
        <v>1582</v>
      </c>
      <c r="V104" s="1226"/>
      <c r="W104" s="1222"/>
      <c r="X104" s="1222"/>
      <c r="Y104" s="1222"/>
      <c r="Z104" s="1222"/>
      <c r="AA104" s="1222"/>
      <c r="AB104" s="1226"/>
      <c r="AC104" s="1222"/>
      <c r="AD104" s="1222"/>
      <c r="AE104" s="1222"/>
      <c r="AF104" s="1222"/>
      <c r="AG104" s="1222"/>
      <c r="AH104" s="1226"/>
      <c r="AI104" s="1222"/>
      <c r="AJ104" s="1222"/>
      <c r="AK104" s="1222"/>
      <c r="AL104" s="1222"/>
      <c r="AM104" s="1222"/>
      <c r="AN104" s="1222"/>
      <c r="AO104" s="1329">
        <v>26.667000000000002</v>
      </c>
      <c r="AP104" s="1330">
        <v>50.98</v>
      </c>
      <c r="BD104" s="1221">
        <v>2174.1999999999998</v>
      </c>
      <c r="BE104" s="1221">
        <v>2664.55</v>
      </c>
      <c r="BF104" s="1221">
        <f t="shared" ref="BF104:BF111" si="14">BE104/BD104</f>
        <v>1.2255312298776564</v>
      </c>
      <c r="BJ104" s="95"/>
      <c r="BK104" s="153"/>
      <c r="BL104" s="153"/>
      <c r="BM104" s="153"/>
      <c r="BN104" s="153"/>
      <c r="BO104" s="153"/>
      <c r="BP104" s="153"/>
      <c r="BQ104" s="153"/>
      <c r="BR104" s="153"/>
      <c r="BS104" s="153"/>
      <c r="BT104" s="153"/>
      <c r="BU104" s="95"/>
      <c r="BV104" s="95"/>
      <c r="BW104" s="95"/>
      <c r="BX104" s="95"/>
      <c r="BY104" s="95"/>
      <c r="BZ104" s="95"/>
    </row>
    <row r="105" spans="1:78" s="1221" customFormat="1" ht="18.600000000000001" thickBot="1">
      <c r="A105" s="1272"/>
      <c r="B105" s="1242"/>
      <c r="C105" s="1243"/>
      <c r="D105" s="1243"/>
      <c r="E105" s="1242"/>
      <c r="F105" s="1242"/>
      <c r="G105" s="1244"/>
      <c r="H105" s="1244"/>
      <c r="I105" s="1244"/>
      <c r="J105" s="1244"/>
      <c r="K105" s="1242"/>
      <c r="L105" s="1244"/>
      <c r="M105" s="1245"/>
      <c r="N105" s="1242"/>
      <c r="O105" s="1242"/>
      <c r="P105" s="1244"/>
      <c r="Q105" s="1244"/>
      <c r="R105" s="1244"/>
      <c r="S105" s="1244"/>
      <c r="T105" s="1244"/>
      <c r="U105" s="1245"/>
      <c r="V105" s="1245"/>
      <c r="W105" s="1242"/>
      <c r="X105" s="1242"/>
      <c r="Y105" s="1242"/>
      <c r="Z105" s="1242"/>
      <c r="AA105" s="1242"/>
      <c r="AB105" s="1245"/>
      <c r="AC105" s="1242"/>
      <c r="AD105" s="1242"/>
      <c r="AE105" s="1242"/>
      <c r="AF105" s="1242"/>
      <c r="AG105" s="1242"/>
      <c r="AH105" s="1245"/>
      <c r="AI105" s="1242"/>
      <c r="AJ105" s="1242"/>
      <c r="AK105" s="1242"/>
      <c r="AL105" s="1242"/>
      <c r="AM105" s="1242"/>
      <c r="AN105" s="1242"/>
      <c r="AO105" s="1245"/>
      <c r="AP105" s="1246"/>
      <c r="BD105" s="1221">
        <v>2406.7800000000002</v>
      </c>
      <c r="BE105" s="1221">
        <v>2972.73</v>
      </c>
      <c r="BF105" s="1221">
        <f t="shared" si="14"/>
        <v>1.2351482063171539</v>
      </c>
      <c r="BJ105" s="95"/>
      <c r="BK105" s="153"/>
      <c r="BL105" s="153"/>
      <c r="BM105" s="153"/>
      <c r="BN105" s="153"/>
      <c r="BO105" s="153"/>
      <c r="BP105" s="153"/>
      <c r="BQ105" s="153"/>
      <c r="BR105" s="153"/>
      <c r="BS105" s="153"/>
      <c r="BT105" s="153"/>
      <c r="BU105" s="95"/>
      <c r="BV105" s="95"/>
      <c r="BW105" s="95"/>
      <c r="BX105" s="95"/>
      <c r="BY105" s="95"/>
      <c r="BZ105" s="95"/>
    </row>
    <row r="106" spans="1:78" s="1221" customFormat="1">
      <c r="A106" s="2479" t="s">
        <v>545</v>
      </c>
      <c r="B106" s="1297" t="s">
        <v>1570</v>
      </c>
      <c r="C106" s="1298" t="s">
        <v>1505</v>
      </c>
      <c r="D106" s="1298" t="s">
        <v>1490</v>
      </c>
      <c r="E106" s="1299">
        <f>SUM(AH111:AH114)/40</f>
        <v>1.523187883055235</v>
      </c>
      <c r="F106" s="1299" t="s">
        <v>1572</v>
      </c>
      <c r="G106" s="1301"/>
      <c r="H106" s="2490">
        <f>E106*G107</f>
        <v>107.67504252165706</v>
      </c>
      <c r="I106" s="1258">
        <f>AL113/40</f>
        <v>1.4683646481495143</v>
      </c>
      <c r="J106" s="1301">
        <f>AL110</f>
        <v>598.37801194433382</v>
      </c>
      <c r="K106" s="2488">
        <v>0.27500000000000002</v>
      </c>
      <c r="L106" s="2477">
        <f>((E106*G107)+I106+I108)*(1+K106)</f>
        <v>457.86686199864619</v>
      </c>
      <c r="M106" s="1282" t="s">
        <v>1586</v>
      </c>
      <c r="N106" s="2493" t="s">
        <v>1587</v>
      </c>
      <c r="O106" s="1367">
        <f>AT127</f>
        <v>3.2484888888888892</v>
      </c>
      <c r="P106" s="1301">
        <f>AP115*BQ22</f>
        <v>59.037135639469774</v>
      </c>
      <c r="Q106" s="1301">
        <f>O106*P106</f>
        <v>191.7814791566438</v>
      </c>
      <c r="R106" s="1301"/>
      <c r="S106" s="1301"/>
      <c r="T106" s="1307">
        <f>O106*P106</f>
        <v>191.7814791566438</v>
      </c>
      <c r="U106" s="1255" t="s">
        <v>1588</v>
      </c>
      <c r="V106" s="1282">
        <v>27</v>
      </c>
      <c r="W106" s="1365">
        <v>108</v>
      </c>
      <c r="X106" s="1365">
        <v>2912</v>
      </c>
      <c r="Y106" s="1365">
        <v>1000</v>
      </c>
      <c r="Z106" s="1365">
        <v>1500</v>
      </c>
      <c r="AA106" s="1366">
        <v>6587</v>
      </c>
      <c r="AB106" s="1282">
        <v>50</v>
      </c>
      <c r="AC106" s="1365">
        <v>96</v>
      </c>
      <c r="AD106" s="1365">
        <v>5091</v>
      </c>
      <c r="AE106" s="1365">
        <v>714</v>
      </c>
      <c r="AF106" s="1365">
        <v>600</v>
      </c>
      <c r="AG106" s="1366">
        <v>799</v>
      </c>
      <c r="AH106" s="1226"/>
      <c r="AI106" s="1222"/>
      <c r="AJ106" s="1222"/>
      <c r="AK106" s="1222"/>
      <c r="AL106" s="1222"/>
      <c r="AM106" s="1222"/>
      <c r="AN106" s="1222"/>
      <c r="AO106" s="1226"/>
      <c r="AP106" s="1253"/>
      <c r="AQ106" s="1221" t="s">
        <v>1505</v>
      </c>
      <c r="AR106" s="1221" t="s">
        <v>1507</v>
      </c>
      <c r="BD106" s="1221">
        <v>2650.38</v>
      </c>
      <c r="BE106" s="1221">
        <v>3350.73</v>
      </c>
      <c r="BF106" s="1221">
        <f t="shared" si="14"/>
        <v>1.2642451271138477</v>
      </c>
      <c r="BJ106" s="95"/>
      <c r="BK106" s="153"/>
      <c r="BL106" s="153"/>
      <c r="BM106" s="153"/>
      <c r="BN106" s="153"/>
      <c r="BO106" s="153"/>
      <c r="BP106" s="153"/>
      <c r="BQ106" s="153"/>
      <c r="BR106" s="153"/>
      <c r="BS106" s="153"/>
      <c r="BT106" s="153"/>
      <c r="BU106" s="95"/>
      <c r="BV106" s="95"/>
      <c r="BW106" s="95"/>
      <c r="BX106" s="95"/>
      <c r="BY106" s="95"/>
      <c r="BZ106" s="95"/>
    </row>
    <row r="107" spans="1:78" s="1221" customFormat="1">
      <c r="A107" s="2480"/>
      <c r="B107" s="1313" t="s">
        <v>1468</v>
      </c>
      <c r="C107" s="1298" t="s">
        <v>1505</v>
      </c>
      <c r="D107" s="1314" t="s">
        <v>1495</v>
      </c>
      <c r="E107" s="1315"/>
      <c r="F107" s="1316"/>
      <c r="G107" s="1260">
        <f>AVERAGE(W106:W109,AC106:AC109)*BS7</f>
        <v>70.690585002344363</v>
      </c>
      <c r="H107" s="2491"/>
      <c r="I107" s="1259"/>
      <c r="J107" s="1360"/>
      <c r="K107" s="2489"/>
      <c r="L107" s="2478"/>
      <c r="M107" s="1282" t="s">
        <v>1589</v>
      </c>
      <c r="N107" s="2494"/>
      <c r="O107" s="1370">
        <f>AT128</f>
        <v>2.7161883333333332</v>
      </c>
      <c r="P107" s="1260">
        <f>AP118*BQ22</f>
        <v>61.225840746543092</v>
      </c>
      <c r="Q107" s="1301">
        <f t="shared" ref="Q107:Q110" si="15">O107*P107</f>
        <v>166.30091433428495</v>
      </c>
      <c r="R107" s="1258"/>
      <c r="S107" s="1258"/>
      <c r="T107" s="1307">
        <f>O107*P107</f>
        <v>166.30091433428495</v>
      </c>
      <c r="U107" s="1255" t="s">
        <v>1590</v>
      </c>
      <c r="V107" s="1282">
        <v>27</v>
      </c>
      <c r="W107" s="1365">
        <v>108</v>
      </c>
      <c r="X107" s="1365">
        <v>2912</v>
      </c>
      <c r="Y107" s="1365">
        <v>1100</v>
      </c>
      <c r="Z107" s="1365">
        <v>1500</v>
      </c>
      <c r="AA107" s="1366">
        <v>6387</v>
      </c>
      <c r="AB107" s="1282">
        <v>53</v>
      </c>
      <c r="AC107" s="1365">
        <v>96</v>
      </c>
      <c r="AD107" s="1365">
        <v>5381</v>
      </c>
      <c r="AE107" s="1365">
        <v>814</v>
      </c>
      <c r="AF107" s="1365">
        <v>600</v>
      </c>
      <c r="AG107" s="1366">
        <v>799</v>
      </c>
      <c r="AH107" s="1371"/>
      <c r="AI107" s="1372"/>
      <c r="AJ107" s="1372"/>
      <c r="AK107" s="1372"/>
      <c r="AL107" s="1372"/>
      <c r="AM107" s="1372"/>
      <c r="AN107" s="1372"/>
      <c r="AO107" s="1371"/>
      <c r="AP107" s="1373"/>
      <c r="AQ107" s="1221">
        <v>1.5</v>
      </c>
      <c r="AR107" s="1221">
        <f t="shared" ref="AR107:AR113" si="16">AO98/AQ107</f>
        <v>4.2666666666666666</v>
      </c>
      <c r="AS107" s="1221" t="s">
        <v>1568</v>
      </c>
      <c r="AT107" s="1221">
        <f>AVERAGE(AR107:AR113)</f>
        <v>4.2681782312925174</v>
      </c>
      <c r="BD107" s="1221">
        <v>3087.7</v>
      </c>
      <c r="BE107" s="1221">
        <v>3924.38</v>
      </c>
      <c r="BF107" s="1221">
        <f t="shared" si="14"/>
        <v>1.2709719208472328</v>
      </c>
      <c r="BJ107" s="95"/>
      <c r="BK107" s="153"/>
      <c r="BL107" s="153"/>
      <c r="BM107" s="153"/>
      <c r="BN107" s="153"/>
      <c r="BO107" s="153"/>
      <c r="BP107" s="153"/>
      <c r="BQ107" s="153"/>
      <c r="BR107" s="153"/>
      <c r="BS107" s="153"/>
      <c r="BT107" s="153"/>
      <c r="BU107" s="95"/>
      <c r="BV107" s="95"/>
      <c r="BW107" s="95"/>
      <c r="BX107" s="95"/>
      <c r="BY107" s="95"/>
      <c r="BZ107" s="95"/>
    </row>
    <row r="108" spans="1:78" s="1221" customFormat="1">
      <c r="A108" s="2480"/>
      <c r="B108" s="1313" t="s">
        <v>1575</v>
      </c>
      <c r="C108" s="1314" t="s">
        <v>1505</v>
      </c>
      <c r="D108" s="1314" t="s">
        <v>1495</v>
      </c>
      <c r="E108" s="1315"/>
      <c r="F108" s="1316"/>
      <c r="G108" s="1301"/>
      <c r="H108" s="1301"/>
      <c r="I108" s="1260">
        <f>AVERAGE(R108:R110)</f>
        <v>249.96785714285716</v>
      </c>
      <c r="J108" s="1301"/>
      <c r="K108" s="1301"/>
      <c r="L108" s="2492"/>
      <c r="M108" s="1319" t="s">
        <v>1591</v>
      </c>
      <c r="N108" s="1309"/>
      <c r="O108" s="1318">
        <f>AVERAGE(V106:V107,AB106:AB107)/20</f>
        <v>1.9624999999999999</v>
      </c>
      <c r="P108" s="1260">
        <f>G107</f>
        <v>70.690585002344363</v>
      </c>
      <c r="Q108" s="1301">
        <f t="shared" si="15"/>
        <v>138.7302730671008</v>
      </c>
      <c r="R108" s="1260">
        <f>((SUM(Y106,AE106,Y107,AE107,AA106:AA107,AG106:AG107)/4)/20)</f>
        <v>227.5</v>
      </c>
      <c r="S108" s="1260">
        <f>AVERAGE(Z106:Z107,AF106:AF107)</f>
        <v>1050</v>
      </c>
      <c r="T108" s="1276">
        <f>O108*P108+R108</f>
        <v>366.23027306710082</v>
      </c>
      <c r="U108" s="1255" t="s">
        <v>1592</v>
      </c>
      <c r="V108" s="1282">
        <v>27</v>
      </c>
      <c r="W108" s="1365">
        <v>108</v>
      </c>
      <c r="X108" s="1365">
        <v>2912</v>
      </c>
      <c r="Y108" s="1365">
        <v>1910</v>
      </c>
      <c r="Z108" s="1365">
        <v>2500</v>
      </c>
      <c r="AA108" s="1366">
        <v>7196</v>
      </c>
      <c r="AB108" s="1282">
        <v>47</v>
      </c>
      <c r="AC108" s="1365">
        <v>97</v>
      </c>
      <c r="AD108" s="1365">
        <v>4541</v>
      </c>
      <c r="AE108" s="1365">
        <v>714</v>
      </c>
      <c r="AF108" s="1365">
        <v>1400</v>
      </c>
      <c r="AG108" s="1366">
        <v>799</v>
      </c>
      <c r="AH108" s="1226"/>
      <c r="AI108" s="1222"/>
      <c r="AJ108" s="1222"/>
      <c r="AK108" s="1222"/>
      <c r="AL108" s="1222"/>
      <c r="AM108" s="1222"/>
      <c r="AN108" s="1222"/>
      <c r="AO108" s="1226"/>
      <c r="AP108" s="1253"/>
      <c r="AQ108" s="1221">
        <v>2</v>
      </c>
      <c r="AR108" s="1221">
        <f t="shared" si="16"/>
        <v>3.8094999999999999</v>
      </c>
      <c r="AS108" s="1221" t="s">
        <v>1569</v>
      </c>
      <c r="AT108" s="1221">
        <f>STDEV(AR107:AR113)</f>
        <v>0.52751092376632147</v>
      </c>
      <c r="BD108" s="1221">
        <v>3609.03</v>
      </c>
      <c r="BE108" s="1221">
        <v>4615.63</v>
      </c>
      <c r="BF108" s="1221">
        <f t="shared" si="14"/>
        <v>1.278911508078348</v>
      </c>
      <c r="BJ108" s="95"/>
      <c r="BK108" s="153"/>
      <c r="BL108" s="153"/>
      <c r="BM108" s="153"/>
      <c r="BN108" s="153"/>
      <c r="BO108" s="153"/>
      <c r="BP108" s="153"/>
      <c r="BQ108" s="153"/>
      <c r="BR108" s="153"/>
      <c r="BS108" s="153"/>
      <c r="BT108" s="153"/>
      <c r="BU108" s="95"/>
      <c r="BV108" s="95"/>
      <c r="BW108" s="95"/>
      <c r="BX108" s="95"/>
      <c r="BY108" s="95"/>
      <c r="BZ108" s="95"/>
    </row>
    <row r="109" spans="1:78">
      <c r="A109" s="2480"/>
      <c r="B109" s="1226"/>
      <c r="C109" s="1223"/>
      <c r="D109" s="1223"/>
      <c r="E109" s="1222"/>
      <c r="F109" s="1222"/>
      <c r="G109" s="1270"/>
      <c r="H109" s="1270"/>
      <c r="I109" s="1270"/>
      <c r="J109" s="1270"/>
      <c r="K109" s="1222"/>
      <c r="L109" s="1336"/>
      <c r="M109" s="1319" t="s">
        <v>1594</v>
      </c>
      <c r="N109" s="1257"/>
      <c r="O109" s="1257">
        <f>AVERAGE(V108,AB108)/20</f>
        <v>1.85</v>
      </c>
      <c r="P109" s="1258">
        <f>G107</f>
        <v>70.690585002344363</v>
      </c>
      <c r="Q109" s="1301">
        <f t="shared" si="15"/>
        <v>130.77758225433709</v>
      </c>
      <c r="R109" s="1260">
        <f>((SUM(Y108,AE108,AA108,AG108)/2)/20)</f>
        <v>265.47500000000002</v>
      </c>
      <c r="S109" s="1260">
        <f>AVERAGE(Z108,AF108)</f>
        <v>1950</v>
      </c>
      <c r="T109" s="1276">
        <f t="shared" ref="T109:T110" si="17">O109*P109+R109</f>
        <v>396.25258225433709</v>
      </c>
      <c r="U109" s="1255" t="s">
        <v>1595</v>
      </c>
      <c r="V109" s="1282">
        <v>70</v>
      </c>
      <c r="W109" s="1365">
        <v>109</v>
      </c>
      <c r="X109" s="1365">
        <v>7616</v>
      </c>
      <c r="Y109" s="1365">
        <v>6175</v>
      </c>
      <c r="Z109" s="1365">
        <v>4500</v>
      </c>
      <c r="AA109" s="1374">
        <v>27781</v>
      </c>
      <c r="AB109" s="1282">
        <v>86</v>
      </c>
      <c r="AC109" s="1365">
        <v>95</v>
      </c>
      <c r="AD109" s="1365">
        <v>8213</v>
      </c>
      <c r="AE109" s="1365">
        <v>964</v>
      </c>
      <c r="AF109" s="1365">
        <v>2000</v>
      </c>
      <c r="AG109" s="1366">
        <v>1050</v>
      </c>
      <c r="AH109" s="1226"/>
      <c r="AI109" s="1222"/>
      <c r="AJ109" s="1222"/>
      <c r="AK109" s="1222"/>
      <c r="AL109" s="1222"/>
      <c r="AM109" s="1222"/>
      <c r="AN109" s="1222"/>
      <c r="AO109" s="1226"/>
      <c r="AP109" s="1253"/>
      <c r="AQ109" s="1221">
        <v>2.5</v>
      </c>
      <c r="AR109" s="1221">
        <f t="shared" si="16"/>
        <v>3.7648000000000001</v>
      </c>
      <c r="BD109" s="1221">
        <v>4844.88</v>
      </c>
      <c r="BE109" s="1221">
        <v>6292.13</v>
      </c>
      <c r="BF109" s="1221">
        <f t="shared" si="14"/>
        <v>1.2987174088935123</v>
      </c>
      <c r="BQ109" s="1368"/>
      <c r="BR109" s="1368"/>
      <c r="BS109" s="1368"/>
      <c r="BT109" s="1368"/>
      <c r="BU109" s="176"/>
      <c r="BV109" s="176"/>
      <c r="BW109" s="176"/>
      <c r="BX109" s="176"/>
    </row>
    <row r="110" spans="1:78">
      <c r="A110" s="2480"/>
      <c r="B110" s="1226"/>
      <c r="C110" s="1223"/>
      <c r="D110" s="1223"/>
      <c r="E110" s="1222"/>
      <c r="F110" s="1222"/>
      <c r="G110" s="1270"/>
      <c r="H110" s="1270"/>
      <c r="I110" s="1270"/>
      <c r="J110" s="1270"/>
      <c r="K110" s="1222"/>
      <c r="L110" s="1336"/>
      <c r="M110" s="1319" t="s">
        <v>1596</v>
      </c>
      <c r="N110" s="1257"/>
      <c r="O110" s="1370">
        <f>AVERAGE(V109,AB109)/70</f>
        <v>1.1142857142857143</v>
      </c>
      <c r="P110" s="1258">
        <f>G107</f>
        <v>70.690585002344363</v>
      </c>
      <c r="Q110" s="1301">
        <f t="shared" si="15"/>
        <v>78.769509002612295</v>
      </c>
      <c r="R110" s="1260">
        <f>((SUM(Y109,AE109,AA109,AG109)/2)/70)</f>
        <v>256.92857142857144</v>
      </c>
      <c r="S110" s="1260">
        <f>AVERAGE(Z109,AF109)</f>
        <v>3250</v>
      </c>
      <c r="T110" s="1276">
        <f t="shared" si="17"/>
        <v>335.69808043118371</v>
      </c>
      <c r="U110" s="1314" t="s">
        <v>1496</v>
      </c>
      <c r="V110" s="1226"/>
      <c r="W110" s="1222"/>
      <c r="X110" s="1222"/>
      <c r="Y110" s="1222"/>
      <c r="Z110" s="1222"/>
      <c r="AA110" s="1222"/>
      <c r="AB110" s="1226"/>
      <c r="AC110" s="1222"/>
      <c r="AD110" s="1222"/>
      <c r="AE110" s="1222"/>
      <c r="AF110" s="1222"/>
      <c r="AG110" s="1222"/>
      <c r="AH110" s="1264"/>
      <c r="AI110" s="1309"/>
      <c r="AJ110" s="1309"/>
      <c r="AK110" s="1309"/>
      <c r="AL110" s="1320">
        <v>598.37801194433382</v>
      </c>
      <c r="AM110" s="1320">
        <v>83.262110419695929</v>
      </c>
      <c r="AN110" s="1321">
        <v>37</v>
      </c>
      <c r="AO110" s="1226"/>
      <c r="AP110" s="1253"/>
      <c r="AQ110" s="1221">
        <v>3</v>
      </c>
      <c r="AR110" s="1221">
        <f t="shared" si="16"/>
        <v>4.1026666666666669</v>
      </c>
      <c r="BD110" s="1221">
        <v>6655.25</v>
      </c>
      <c r="BE110" s="1221">
        <v>8322.1299999999992</v>
      </c>
      <c r="BF110" s="1221">
        <f t="shared" si="14"/>
        <v>1.2504609143157657</v>
      </c>
      <c r="BQ110" s="1368"/>
      <c r="BR110" s="1368"/>
      <c r="BS110" s="1368"/>
      <c r="BT110" s="1368"/>
      <c r="BU110" s="176"/>
      <c r="BV110" s="176"/>
      <c r="BW110" s="176"/>
      <c r="BX110" s="176"/>
    </row>
    <row r="111" spans="1:78">
      <c r="A111" s="2480"/>
      <c r="B111" s="1226"/>
      <c r="C111" s="1223"/>
      <c r="D111" s="1223"/>
      <c r="E111" s="1222"/>
      <c r="F111" s="1222"/>
      <c r="G111" s="1270"/>
      <c r="H111" s="1270"/>
      <c r="I111" s="1270"/>
      <c r="J111" s="1270"/>
      <c r="K111" s="1222"/>
      <c r="L111" s="1336"/>
      <c r="M111" s="1361" t="s">
        <v>1597</v>
      </c>
      <c r="N111" s="1362"/>
      <c r="O111" s="1364" t="s">
        <v>1598</v>
      </c>
      <c r="P111" s="1279">
        <v>67.88</v>
      </c>
      <c r="Q111" s="1376" t="s">
        <v>1599</v>
      </c>
      <c r="R111" s="1301"/>
      <c r="S111" s="1301"/>
      <c r="T111" s="1376" t="s">
        <v>1599</v>
      </c>
      <c r="U111" s="1314" t="s">
        <v>1600</v>
      </c>
      <c r="V111" s="1226"/>
      <c r="W111" s="1222"/>
      <c r="X111" s="1222"/>
      <c r="Y111" s="1222"/>
      <c r="Z111" s="1222"/>
      <c r="AA111" s="1222"/>
      <c r="AB111" s="1226"/>
      <c r="AC111" s="1222"/>
      <c r="AD111" s="1222"/>
      <c r="AE111" s="1222"/>
      <c r="AF111" s="1222"/>
      <c r="AG111" s="1222"/>
      <c r="AH111" s="1323">
        <v>38.601385291863409</v>
      </c>
      <c r="AI111" s="1320">
        <v>4.7597333263615154</v>
      </c>
      <c r="AJ111" s="1324">
        <v>26</v>
      </c>
      <c r="AK111" s="1309"/>
      <c r="AL111" s="1318"/>
      <c r="AM111" s="1318"/>
      <c r="AN111" s="1325"/>
      <c r="AO111" s="1226"/>
      <c r="AP111" s="1253"/>
      <c r="AQ111" s="1221">
        <v>3.5</v>
      </c>
      <c r="AR111" s="1221">
        <f t="shared" si="16"/>
        <v>4.1557142857142857</v>
      </c>
      <c r="BD111" s="1221">
        <v>7730.63</v>
      </c>
      <c r="BE111" s="1221">
        <v>9548</v>
      </c>
      <c r="BF111" s="1221">
        <f t="shared" si="14"/>
        <v>1.2350869204709061</v>
      </c>
      <c r="BQ111" s="1368"/>
      <c r="BR111" s="1368"/>
      <c r="BS111" s="1368"/>
      <c r="BT111" s="1368"/>
      <c r="BU111" s="176"/>
      <c r="BV111" s="176"/>
      <c r="BW111" s="176"/>
      <c r="BX111" s="176"/>
    </row>
    <row r="112" spans="1:78">
      <c r="A112" s="2480"/>
      <c r="B112" s="1226"/>
      <c r="C112" s="1223"/>
      <c r="D112" s="1223"/>
      <c r="E112" s="1222"/>
      <c r="F112" s="1222"/>
      <c r="G112" s="1270"/>
      <c r="H112" s="1270"/>
      <c r="I112" s="1270"/>
      <c r="J112" s="1270"/>
      <c r="K112" s="1222"/>
      <c r="L112" s="1336"/>
      <c r="M112" s="1226"/>
      <c r="N112" s="1222"/>
      <c r="O112" s="1222"/>
      <c r="P112" s="1270"/>
      <c r="Q112" s="1270"/>
      <c r="R112" s="1270"/>
      <c r="S112" s="1270"/>
      <c r="T112" s="1336"/>
      <c r="U112" s="1314" t="s">
        <v>1501</v>
      </c>
      <c r="V112" s="1226"/>
      <c r="W112" s="1222"/>
      <c r="X112" s="1222"/>
      <c r="Y112" s="1222"/>
      <c r="Z112" s="1222"/>
      <c r="AA112" s="1222"/>
      <c r="AB112" s="1226"/>
      <c r="AC112" s="1222"/>
      <c r="AD112" s="1222"/>
      <c r="AE112" s="1222"/>
      <c r="AF112" s="1222"/>
      <c r="AG112" s="1222"/>
      <c r="AH112" s="1323">
        <v>12.64460873851313</v>
      </c>
      <c r="AI112" s="1320">
        <v>2.2565962999331441</v>
      </c>
      <c r="AJ112" s="1324">
        <v>37</v>
      </c>
      <c r="AK112" s="1309"/>
      <c r="AL112" s="1318"/>
      <c r="AM112" s="1318"/>
      <c r="AN112" s="1325"/>
      <c r="AO112" s="1226"/>
      <c r="AP112" s="1253"/>
      <c r="AQ112" s="1221">
        <v>4</v>
      </c>
      <c r="AR112" s="1221">
        <f t="shared" si="16"/>
        <v>4.4444999999999997</v>
      </c>
      <c r="BF112" s="1221">
        <f>AVERAGE(BF103:BF111)</f>
        <v>1.2528994648453269</v>
      </c>
      <c r="BQ112" s="1368"/>
      <c r="BR112" s="1368"/>
      <c r="BS112" s="1368"/>
      <c r="BT112" s="1368"/>
      <c r="BU112" s="176"/>
      <c r="BV112" s="176"/>
      <c r="BW112" s="176"/>
      <c r="BX112" s="176"/>
    </row>
    <row r="113" spans="1:76">
      <c r="A113" s="2480"/>
      <c r="B113" s="1226"/>
      <c r="C113" s="1223"/>
      <c r="D113" s="1223"/>
      <c r="E113" s="1222"/>
      <c r="F113" s="1222"/>
      <c r="G113" s="1270"/>
      <c r="H113" s="1270"/>
      <c r="I113" s="1270"/>
      <c r="J113" s="1270"/>
      <c r="K113" s="1222"/>
      <c r="L113" s="1336"/>
      <c r="M113" s="1226"/>
      <c r="N113" s="1222"/>
      <c r="O113" s="1222"/>
      <c r="P113" s="1270"/>
      <c r="Q113" s="1270"/>
      <c r="R113" s="1270"/>
      <c r="S113" s="1270"/>
      <c r="T113" s="1336"/>
      <c r="U113" s="1314" t="s">
        <v>1502</v>
      </c>
      <c r="V113" s="1226"/>
      <c r="W113" s="1222"/>
      <c r="X113" s="1222"/>
      <c r="Y113" s="1222"/>
      <c r="Z113" s="1222"/>
      <c r="AA113" s="1222"/>
      <c r="AB113" s="1226"/>
      <c r="AC113" s="1222"/>
      <c r="AD113" s="1222"/>
      <c r="AE113" s="1222"/>
      <c r="AF113" s="1222"/>
      <c r="AG113" s="1222"/>
      <c r="AH113" s="1328"/>
      <c r="AI113" s="1318"/>
      <c r="AJ113" s="1309"/>
      <c r="AK113" s="1309"/>
      <c r="AL113" s="1320">
        <v>58.734585925980568</v>
      </c>
      <c r="AM113" s="1320">
        <v>12.720092983023894</v>
      </c>
      <c r="AN113" s="1321">
        <v>33</v>
      </c>
      <c r="AO113" s="1226"/>
      <c r="AP113" s="1253"/>
      <c r="AQ113" s="1221">
        <v>5</v>
      </c>
      <c r="AR113" s="1221">
        <f t="shared" si="16"/>
        <v>5.3334000000000001</v>
      </c>
      <c r="BQ113" s="1368"/>
      <c r="BR113" s="1368"/>
      <c r="BS113" s="1368"/>
      <c r="BT113" s="1368"/>
      <c r="BU113" s="176"/>
      <c r="BV113" s="176"/>
      <c r="BW113" s="176"/>
      <c r="BX113" s="176"/>
    </row>
    <row r="114" spans="1:76" ht="11.25" customHeight="1">
      <c r="A114" s="2480"/>
      <c r="B114" s="1226"/>
      <c r="C114" s="1223"/>
      <c r="D114" s="1223"/>
      <c r="E114" s="1222"/>
      <c r="F114" s="1222"/>
      <c r="G114" s="1270"/>
      <c r="H114" s="1270"/>
      <c r="I114" s="1270"/>
      <c r="J114" s="1270"/>
      <c r="K114" s="1222"/>
      <c r="L114" s="1336"/>
      <c r="M114" s="1226"/>
      <c r="N114" s="1222"/>
      <c r="O114" s="1222"/>
      <c r="P114" s="1270"/>
      <c r="Q114" s="1270"/>
      <c r="R114" s="1270"/>
      <c r="S114" s="1270"/>
      <c r="T114" s="1336"/>
      <c r="U114" s="1314" t="s">
        <v>1602</v>
      </c>
      <c r="V114" s="1226"/>
      <c r="W114" s="1222"/>
      <c r="X114" s="1222"/>
      <c r="Y114" s="1222"/>
      <c r="Z114" s="1222"/>
      <c r="AA114" s="1222"/>
      <c r="AB114" s="1226"/>
      <c r="AC114" s="1222"/>
      <c r="AD114" s="1222"/>
      <c r="AE114" s="1222"/>
      <c r="AF114" s="1222"/>
      <c r="AG114" s="1222"/>
      <c r="AH114" s="1323">
        <v>9.6815212918328672</v>
      </c>
      <c r="AI114" s="1320">
        <v>2.1566801181888837</v>
      </c>
      <c r="AJ114" s="1324">
        <v>26</v>
      </c>
      <c r="AK114" s="1309"/>
      <c r="AL114" s="1257"/>
      <c r="AM114" s="1257"/>
      <c r="AN114" s="1273"/>
      <c r="AO114" s="1226"/>
      <c r="AP114" s="1253"/>
      <c r="BQ114" s="1368"/>
      <c r="BR114" s="1368"/>
      <c r="BS114" s="1368"/>
      <c r="BT114" s="1368"/>
      <c r="BU114" s="176"/>
      <c r="BV114" s="176"/>
      <c r="BW114" s="176"/>
      <c r="BX114" s="176"/>
    </row>
    <row r="115" spans="1:76">
      <c r="A115" s="2480"/>
      <c r="B115" s="1226"/>
      <c r="C115" s="1223"/>
      <c r="D115" s="1223"/>
      <c r="E115" s="1222"/>
      <c r="F115" s="1222"/>
      <c r="G115" s="1270"/>
      <c r="H115" s="1270"/>
      <c r="I115" s="1270"/>
      <c r="J115" s="1270"/>
      <c r="K115" s="1222"/>
      <c r="L115" s="1336"/>
      <c r="M115" s="1226"/>
      <c r="N115" s="1222"/>
      <c r="O115" s="1222"/>
      <c r="P115" s="1270"/>
      <c r="Q115" s="1270"/>
      <c r="R115" s="1270"/>
      <c r="S115" s="1270"/>
      <c r="T115" s="1336"/>
      <c r="U115" s="1314" t="s">
        <v>1603</v>
      </c>
      <c r="V115" s="1226"/>
      <c r="W115" s="1222"/>
      <c r="X115" s="1222"/>
      <c r="Y115" s="1222"/>
      <c r="Z115" s="1222"/>
      <c r="AA115" s="1222"/>
      <c r="AB115" s="1226"/>
      <c r="AC115" s="1222"/>
      <c r="AD115" s="1222"/>
      <c r="AE115" s="1222"/>
      <c r="AF115" s="1222"/>
      <c r="AG115" s="1222"/>
      <c r="AH115" s="1226"/>
      <c r="AI115" s="1222"/>
      <c r="AJ115" s="1222"/>
      <c r="AK115" s="1222"/>
      <c r="AL115" s="1222"/>
      <c r="AM115" s="1222"/>
      <c r="AN115" s="1222"/>
      <c r="AO115" s="1282">
        <v>29.091000000000001</v>
      </c>
      <c r="AP115" s="1283">
        <v>50.98</v>
      </c>
      <c r="AQ115" s="1221">
        <f>V106/20</f>
        <v>1.35</v>
      </c>
      <c r="AR115" s="1221">
        <f>AB106/20</f>
        <v>2.5</v>
      </c>
      <c r="BG115" s="1221" t="s">
        <v>1583</v>
      </c>
      <c r="BQ115" s="1368"/>
      <c r="BR115" s="1368"/>
      <c r="BS115" s="1368"/>
      <c r="BT115" s="1368"/>
      <c r="BU115" s="176"/>
      <c r="BV115" s="176"/>
      <c r="BW115" s="176"/>
      <c r="BX115" s="176"/>
    </row>
    <row r="116" spans="1:76">
      <c r="A116" s="2480"/>
      <c r="B116" s="1226"/>
      <c r="C116" s="1223"/>
      <c r="D116" s="1223"/>
      <c r="E116" s="1222"/>
      <c r="F116" s="1222"/>
      <c r="G116" s="1270"/>
      <c r="H116" s="1270"/>
      <c r="I116" s="1270"/>
      <c r="J116" s="1270"/>
      <c r="K116" s="1222"/>
      <c r="L116" s="1336"/>
      <c r="M116" s="1226"/>
      <c r="N116" s="1222"/>
      <c r="O116" s="1222"/>
      <c r="P116" s="1270"/>
      <c r="Q116" s="1270"/>
      <c r="R116" s="1270"/>
      <c r="S116" s="1270"/>
      <c r="T116" s="1336"/>
      <c r="U116" s="1314" t="s">
        <v>1604</v>
      </c>
      <c r="V116" s="1226"/>
      <c r="W116" s="1222"/>
      <c r="X116" s="1222"/>
      <c r="Y116" s="1222"/>
      <c r="Z116" s="1222"/>
      <c r="AA116" s="1222"/>
      <c r="AB116" s="1226"/>
      <c r="AC116" s="1222"/>
      <c r="AD116" s="1222"/>
      <c r="AE116" s="1222"/>
      <c r="AF116" s="1222"/>
      <c r="AG116" s="1222"/>
      <c r="AH116" s="1226"/>
      <c r="AI116" s="1222"/>
      <c r="AJ116" s="1222"/>
      <c r="AK116" s="1222"/>
      <c r="AL116" s="1222"/>
      <c r="AM116" s="1222"/>
      <c r="AN116" s="1222"/>
      <c r="AO116" s="1282">
        <v>32</v>
      </c>
      <c r="AP116" s="1283">
        <v>50.98</v>
      </c>
      <c r="AQ116" s="1221">
        <f>V107/20</f>
        <v>1.35</v>
      </c>
      <c r="AR116" s="1221">
        <f>AB107/20</f>
        <v>2.65</v>
      </c>
      <c r="BG116" s="1221" t="s">
        <v>1505</v>
      </c>
      <c r="BH116" s="1221" t="s">
        <v>1584</v>
      </c>
      <c r="BI116" s="1221" t="s">
        <v>1585</v>
      </c>
      <c r="BQ116" s="1368"/>
      <c r="BR116" s="1368"/>
      <c r="BS116" s="1368"/>
      <c r="BT116" s="1368"/>
      <c r="BU116" s="176"/>
      <c r="BV116" s="176"/>
      <c r="BW116" s="176"/>
      <c r="BX116" s="176"/>
    </row>
    <row r="117" spans="1:76">
      <c r="A117" s="2480"/>
      <c r="B117" s="1226"/>
      <c r="C117" s="1223"/>
      <c r="D117" s="1223"/>
      <c r="E117" s="1222"/>
      <c r="F117" s="1222"/>
      <c r="G117" s="1270"/>
      <c r="H117" s="1270"/>
      <c r="I117" s="1270"/>
      <c r="J117" s="1270"/>
      <c r="K117" s="1222"/>
      <c r="L117" s="1336"/>
      <c r="M117" s="1226"/>
      <c r="N117" s="1222"/>
      <c r="O117" s="1222"/>
      <c r="P117" s="1270"/>
      <c r="Q117" s="1270"/>
      <c r="R117" s="1270"/>
      <c r="S117" s="1270"/>
      <c r="T117" s="1336"/>
      <c r="U117" s="1314" t="s">
        <v>1606</v>
      </c>
      <c r="V117" s="1226"/>
      <c r="W117" s="1222"/>
      <c r="X117" s="1222"/>
      <c r="Y117" s="1222"/>
      <c r="Z117" s="1222"/>
      <c r="AA117" s="1222"/>
      <c r="AB117" s="1226"/>
      <c r="AC117" s="1222"/>
      <c r="AD117" s="1222"/>
      <c r="AE117" s="1222"/>
      <c r="AF117" s="1222"/>
      <c r="AG117" s="1222"/>
      <c r="AH117" s="1226"/>
      <c r="AI117" s="1222"/>
      <c r="AJ117" s="1222"/>
      <c r="AK117" s="1222"/>
      <c r="AL117" s="1222"/>
      <c r="AM117" s="1222"/>
      <c r="AN117" s="1222"/>
      <c r="AO117" s="1282">
        <v>40</v>
      </c>
      <c r="AP117" s="1283">
        <v>50.98</v>
      </c>
      <c r="AQ117" s="1221">
        <f>V108/20</f>
        <v>1.35</v>
      </c>
      <c r="AR117" s="1221">
        <f>AB108/20</f>
        <v>2.35</v>
      </c>
      <c r="BG117" s="1221">
        <v>5</v>
      </c>
      <c r="BH117" s="1221">
        <v>6.27</v>
      </c>
      <c r="BI117" s="1369">
        <f>SUM(AH94:AH97)</f>
        <v>31.353832233535051</v>
      </c>
      <c r="BQ117" s="1368"/>
      <c r="BR117" s="1368"/>
      <c r="BS117" s="1368"/>
      <c r="BT117" s="1368"/>
      <c r="BU117" s="176"/>
      <c r="BV117" s="176"/>
      <c r="BW117" s="176"/>
      <c r="BX117" s="176"/>
    </row>
    <row r="118" spans="1:76">
      <c r="A118" s="2480"/>
      <c r="B118" s="1226"/>
      <c r="C118" s="1223"/>
      <c r="D118" s="1223"/>
      <c r="E118" s="1222"/>
      <c r="F118" s="1222"/>
      <c r="G118" s="1270"/>
      <c r="H118" s="1270"/>
      <c r="I118" s="1270"/>
      <c r="J118" s="1270"/>
      <c r="K118" s="1222"/>
      <c r="L118" s="1336"/>
      <c r="M118" s="1226"/>
      <c r="N118" s="1222"/>
      <c r="O118" s="1222"/>
      <c r="P118" s="1270"/>
      <c r="Q118" s="1270"/>
      <c r="R118" s="1270"/>
      <c r="S118" s="1270"/>
      <c r="T118" s="1336"/>
      <c r="U118" s="1314" t="s">
        <v>1608</v>
      </c>
      <c r="V118" s="1226"/>
      <c r="W118" s="1222"/>
      <c r="X118" s="1222"/>
      <c r="Y118" s="1222"/>
      <c r="Z118" s="1222"/>
      <c r="AA118" s="1222"/>
      <c r="AB118" s="1226"/>
      <c r="AC118" s="1222"/>
      <c r="AD118" s="1222"/>
      <c r="AE118" s="1222"/>
      <c r="AF118" s="1222"/>
      <c r="AG118" s="1222"/>
      <c r="AH118" s="1226"/>
      <c r="AI118" s="1222"/>
      <c r="AJ118" s="1222"/>
      <c r="AK118" s="1222"/>
      <c r="AL118" s="1222"/>
      <c r="AM118" s="1222"/>
      <c r="AN118" s="1222"/>
      <c r="AO118" s="1264">
        <v>60</v>
      </c>
      <c r="AP118" s="1265">
        <v>52.87</v>
      </c>
      <c r="AQ118" s="1221">
        <f>V109/70</f>
        <v>1</v>
      </c>
      <c r="AR118" s="1221">
        <f>AB109/70</f>
        <v>1.2285714285714286</v>
      </c>
      <c r="BG118" s="1221">
        <v>40</v>
      </c>
      <c r="BH118" s="1221">
        <v>1.52</v>
      </c>
      <c r="BI118" s="1369">
        <f>SUM(AH111:AH114)</f>
        <v>60.927515322209402</v>
      </c>
      <c r="BQ118" s="1368"/>
      <c r="BR118" s="1368"/>
      <c r="BS118" s="1368"/>
      <c r="BT118" s="1368"/>
      <c r="BU118" s="176"/>
      <c r="BV118" s="176"/>
      <c r="BW118" s="176"/>
      <c r="BX118" s="176"/>
    </row>
    <row r="119" spans="1:76">
      <c r="A119" s="2480"/>
      <c r="B119" s="1226"/>
      <c r="C119" s="1223"/>
      <c r="D119" s="1223"/>
      <c r="E119" s="1222"/>
      <c r="F119" s="1222"/>
      <c r="G119" s="1270"/>
      <c r="H119" s="1270"/>
      <c r="I119" s="1270"/>
      <c r="J119" s="1270"/>
      <c r="K119" s="1222"/>
      <c r="L119" s="1336"/>
      <c r="M119" s="1226"/>
      <c r="N119" s="1222"/>
      <c r="O119" s="1222"/>
      <c r="P119" s="1270"/>
      <c r="Q119" s="1270"/>
      <c r="R119" s="1270"/>
      <c r="S119" s="1270"/>
      <c r="T119" s="1336"/>
      <c r="U119" s="1314" t="s">
        <v>1609</v>
      </c>
      <c r="V119" s="1226"/>
      <c r="W119" s="1222"/>
      <c r="X119" s="1222"/>
      <c r="Y119" s="1222"/>
      <c r="Z119" s="1222"/>
      <c r="AA119" s="1222"/>
      <c r="AB119" s="1226"/>
      <c r="AC119" s="1222"/>
      <c r="AD119" s="1222"/>
      <c r="AE119" s="1222"/>
      <c r="AF119" s="1222"/>
      <c r="AG119" s="1222"/>
      <c r="AH119" s="1226"/>
      <c r="AI119" s="1222"/>
      <c r="AJ119" s="1222"/>
      <c r="AK119" s="1222"/>
      <c r="AL119" s="1222"/>
      <c r="AM119" s="1222"/>
      <c r="AN119" s="1222"/>
      <c r="AO119" s="1264">
        <v>68.570999999999998</v>
      </c>
      <c r="AP119" s="1265">
        <v>52.87</v>
      </c>
      <c r="BG119" s="1221" t="s">
        <v>1593</v>
      </c>
      <c r="BQ119" s="1368"/>
      <c r="BR119" s="1368"/>
      <c r="BS119" s="1368"/>
      <c r="BT119" s="1368"/>
      <c r="BU119" s="176"/>
      <c r="BV119" s="176"/>
      <c r="BW119" s="176"/>
      <c r="BX119" s="176"/>
    </row>
    <row r="120" spans="1:76">
      <c r="A120" s="2480"/>
      <c r="B120" s="1226"/>
      <c r="C120" s="1223"/>
      <c r="D120" s="1223"/>
      <c r="E120" s="1222"/>
      <c r="F120" s="1222"/>
      <c r="G120" s="1270"/>
      <c r="H120" s="1270"/>
      <c r="I120" s="1270"/>
      <c r="J120" s="1270"/>
      <c r="K120" s="1222"/>
      <c r="L120" s="1336"/>
      <c r="M120" s="1226"/>
      <c r="N120" s="1222"/>
      <c r="O120" s="1222"/>
      <c r="P120" s="1270"/>
      <c r="Q120" s="1270"/>
      <c r="R120" s="1270"/>
      <c r="S120" s="1270"/>
      <c r="T120" s="1336"/>
      <c r="U120" s="1314" t="s">
        <v>1610</v>
      </c>
      <c r="V120" s="1226"/>
      <c r="W120" s="1222"/>
      <c r="X120" s="1222"/>
      <c r="Y120" s="1222"/>
      <c r="Z120" s="1222"/>
      <c r="AA120" s="1222"/>
      <c r="AB120" s="1226"/>
      <c r="AC120" s="1222"/>
      <c r="AD120" s="1222"/>
      <c r="AE120" s="1222"/>
      <c r="AF120" s="1222"/>
      <c r="AG120" s="1222"/>
      <c r="AH120" s="1226"/>
      <c r="AI120" s="1222"/>
      <c r="AJ120" s="1222"/>
      <c r="AK120" s="1222"/>
      <c r="AL120" s="1222"/>
      <c r="AM120" s="1222"/>
      <c r="AN120" s="1222"/>
      <c r="AO120" s="1264">
        <v>80</v>
      </c>
      <c r="AP120" s="1265">
        <v>52.87</v>
      </c>
      <c r="BG120" s="1221">
        <v>20</v>
      </c>
      <c r="BI120" s="1375">
        <v>50</v>
      </c>
      <c r="BQ120" s="1368"/>
      <c r="BR120" s="1368"/>
      <c r="BS120" s="1368"/>
      <c r="BT120" s="1368"/>
      <c r="BU120" s="176"/>
      <c r="BV120" s="176"/>
      <c r="BW120" s="176"/>
      <c r="BX120" s="176"/>
    </row>
    <row r="121" spans="1:76">
      <c r="A121" s="2480"/>
      <c r="B121" s="1226"/>
      <c r="C121" s="1223"/>
      <c r="D121" s="1223"/>
      <c r="E121" s="1222"/>
      <c r="F121" s="1222"/>
      <c r="G121" s="1270"/>
      <c r="H121" s="1270"/>
      <c r="I121" s="1270"/>
      <c r="J121" s="1270"/>
      <c r="K121" s="1222"/>
      <c r="L121" s="1336"/>
      <c r="M121" s="1226"/>
      <c r="N121" s="1222"/>
      <c r="O121" s="1222"/>
      <c r="P121" s="1270"/>
      <c r="Q121" s="1270"/>
      <c r="R121" s="1270"/>
      <c r="S121" s="1270"/>
      <c r="T121" s="1336"/>
      <c r="U121" s="1314" t="s">
        <v>1611</v>
      </c>
      <c r="V121" s="1226"/>
      <c r="W121" s="1222"/>
      <c r="X121" s="1222"/>
      <c r="Y121" s="1222"/>
      <c r="Z121" s="1222"/>
      <c r="AA121" s="1222"/>
      <c r="AB121" s="1226"/>
      <c r="AC121" s="1222"/>
      <c r="AD121" s="1222"/>
      <c r="AE121" s="1222"/>
      <c r="AF121" s="1222"/>
      <c r="AG121" s="1222"/>
      <c r="AH121" s="1226"/>
      <c r="AI121" s="1222"/>
      <c r="AJ121" s="1222"/>
      <c r="AK121" s="1222"/>
      <c r="AL121" s="1222"/>
      <c r="AM121" s="1222"/>
      <c r="AN121" s="1222"/>
      <c r="AO121" s="1264">
        <v>120</v>
      </c>
      <c r="AP121" s="1265">
        <v>52.87</v>
      </c>
      <c r="BG121" s="1221">
        <v>20</v>
      </c>
      <c r="BI121" s="1375">
        <v>53</v>
      </c>
      <c r="BQ121" s="1368"/>
      <c r="BR121" s="1368"/>
      <c r="BS121" s="1368"/>
      <c r="BT121" s="1368"/>
      <c r="BU121" s="176"/>
      <c r="BV121" s="176"/>
      <c r="BW121" s="176"/>
      <c r="BX121" s="176"/>
    </row>
    <row r="122" spans="1:76">
      <c r="A122" s="2480"/>
      <c r="B122" s="1226"/>
      <c r="C122" s="1223"/>
      <c r="D122" s="1223"/>
      <c r="E122" s="1222"/>
      <c r="F122" s="1222"/>
      <c r="G122" s="1270"/>
      <c r="H122" s="1270"/>
      <c r="I122" s="1270"/>
      <c r="J122" s="1270"/>
      <c r="K122" s="1222"/>
      <c r="L122" s="1336"/>
      <c r="M122" s="1226"/>
      <c r="N122" s="1222"/>
      <c r="O122" s="1222"/>
      <c r="P122" s="1270"/>
      <c r="Q122" s="1270"/>
      <c r="R122" s="1270"/>
      <c r="S122" s="1270"/>
      <c r="T122" s="1336"/>
      <c r="U122" s="1314" t="s">
        <v>1612</v>
      </c>
      <c r="V122" s="1226"/>
      <c r="W122" s="1222"/>
      <c r="X122" s="1222"/>
      <c r="Y122" s="1222"/>
      <c r="Z122" s="1222"/>
      <c r="AA122" s="1222"/>
      <c r="AB122" s="1226"/>
      <c r="AC122" s="1222"/>
      <c r="AD122" s="1222"/>
      <c r="AE122" s="1222"/>
      <c r="AF122" s="1222"/>
      <c r="AG122" s="1222"/>
      <c r="AH122" s="1226"/>
      <c r="AI122" s="1222"/>
      <c r="AJ122" s="1222"/>
      <c r="AK122" s="1222"/>
      <c r="AL122" s="1222"/>
      <c r="AM122" s="1222"/>
      <c r="AN122" s="1222"/>
      <c r="AO122" s="1264">
        <v>133</v>
      </c>
      <c r="AP122" s="1265">
        <v>52.87</v>
      </c>
      <c r="BG122" s="1221">
        <v>20</v>
      </c>
      <c r="BI122" s="1375">
        <v>47</v>
      </c>
      <c r="BQ122" s="1368"/>
      <c r="BR122" s="1368"/>
      <c r="BS122" s="1368"/>
      <c r="BT122" s="1368"/>
      <c r="BU122" s="176"/>
      <c r="BV122" s="176"/>
      <c r="BW122" s="176"/>
      <c r="BX122" s="176"/>
    </row>
    <row r="123" spans="1:76">
      <c r="A123" s="2480"/>
      <c r="B123" s="1226"/>
      <c r="C123" s="1223"/>
      <c r="D123" s="1223"/>
      <c r="E123" s="1222"/>
      <c r="F123" s="1222"/>
      <c r="G123" s="1270"/>
      <c r="H123" s="1270"/>
      <c r="I123" s="1270"/>
      <c r="J123" s="1270"/>
      <c r="K123" s="1222"/>
      <c r="L123" s="1336"/>
      <c r="M123" s="1226"/>
      <c r="N123" s="1222"/>
      <c r="O123" s="1222"/>
      <c r="P123" s="1270"/>
      <c r="Q123" s="1270"/>
      <c r="R123" s="1270"/>
      <c r="S123" s="1270"/>
      <c r="T123" s="1336"/>
      <c r="U123" s="1314" t="s">
        <v>1613</v>
      </c>
      <c r="V123" s="1226"/>
      <c r="W123" s="1222"/>
      <c r="X123" s="1222"/>
      <c r="Y123" s="1222"/>
      <c r="Z123" s="1222"/>
      <c r="AA123" s="1222"/>
      <c r="AB123" s="1226"/>
      <c r="AC123" s="1222"/>
      <c r="AD123" s="1222"/>
      <c r="AE123" s="1222"/>
      <c r="AF123" s="1222"/>
      <c r="AG123" s="1222"/>
      <c r="AH123" s="1226"/>
      <c r="AI123" s="1222"/>
      <c r="AJ123" s="1222"/>
      <c r="AK123" s="1222"/>
      <c r="AL123" s="1222"/>
      <c r="AM123" s="1222"/>
      <c r="AN123" s="1222"/>
      <c r="AO123" s="1264">
        <v>150</v>
      </c>
      <c r="AP123" s="1265">
        <v>52.87</v>
      </c>
      <c r="AQ123" s="1221" t="s">
        <v>1505</v>
      </c>
      <c r="AR123" s="1221" t="s">
        <v>1601</v>
      </c>
      <c r="BG123" s="1221">
        <v>70</v>
      </c>
      <c r="BI123" s="1375">
        <v>70</v>
      </c>
      <c r="BQ123" s="1368"/>
      <c r="BR123" s="1368"/>
      <c r="BS123" s="1368"/>
      <c r="BT123" s="1368"/>
      <c r="BU123" s="176"/>
      <c r="BV123" s="176"/>
      <c r="BW123" s="176"/>
      <c r="BX123" s="176"/>
    </row>
    <row r="124" spans="1:76">
      <c r="A124" s="2480"/>
      <c r="B124" s="1226"/>
      <c r="C124" s="1223"/>
      <c r="D124" s="1223"/>
      <c r="E124" s="1222"/>
      <c r="F124" s="1222"/>
      <c r="G124" s="1270"/>
      <c r="H124" s="1270"/>
      <c r="I124" s="1270"/>
      <c r="J124" s="1270"/>
      <c r="K124" s="1222"/>
      <c r="L124" s="1336"/>
      <c r="M124" s="1226"/>
      <c r="N124" s="1222"/>
      <c r="O124" s="1222"/>
      <c r="P124" s="1270"/>
      <c r="Q124" s="1270"/>
      <c r="R124" s="1270"/>
      <c r="S124" s="1270"/>
      <c r="T124" s="1336"/>
      <c r="U124" s="1314" t="s">
        <v>1614</v>
      </c>
      <c r="V124" s="1226"/>
      <c r="W124" s="1222"/>
      <c r="X124" s="1222"/>
      <c r="Y124" s="1222"/>
      <c r="Z124" s="1222"/>
      <c r="AA124" s="1222"/>
      <c r="AB124" s="1226"/>
      <c r="AC124" s="1222"/>
      <c r="AD124" s="1222"/>
      <c r="AE124" s="1222"/>
      <c r="AF124" s="1222"/>
      <c r="AG124" s="1222"/>
      <c r="AH124" s="1226"/>
      <c r="AI124" s="1222"/>
      <c r="AJ124" s="1222"/>
      <c r="AK124" s="1222"/>
      <c r="AL124" s="1222"/>
      <c r="AM124" s="1222"/>
      <c r="AN124" s="1222"/>
      <c r="AO124" s="1264">
        <v>200</v>
      </c>
      <c r="AP124" s="1265">
        <v>52.87</v>
      </c>
      <c r="AQ124" s="1221">
        <v>7.5</v>
      </c>
      <c r="AR124" s="1221">
        <f t="shared" ref="AR124:AR134" si="18">AO115/AQ124</f>
        <v>3.8788</v>
      </c>
      <c r="AS124" s="1221" t="s">
        <v>1568</v>
      </c>
      <c r="AT124" s="1221">
        <f>AVERAGE(AR124:AR134)</f>
        <v>2.8613612121212122</v>
      </c>
      <c r="BG124" s="1221">
        <v>70</v>
      </c>
      <c r="BI124" s="1284">
        <v>86</v>
      </c>
      <c r="BQ124" s="1368"/>
      <c r="BR124" s="1368"/>
      <c r="BS124" s="1368"/>
      <c r="BT124" s="1368"/>
      <c r="BU124" s="176"/>
      <c r="BV124" s="176"/>
      <c r="BW124" s="176"/>
      <c r="BX124" s="176"/>
    </row>
    <row r="125" spans="1:76" ht="15" thickBot="1">
      <c r="A125" s="2481"/>
      <c r="B125" s="1226"/>
      <c r="C125" s="1223"/>
      <c r="D125" s="1223"/>
      <c r="E125" s="1222"/>
      <c r="F125" s="1222"/>
      <c r="G125" s="1270"/>
      <c r="H125" s="1270"/>
      <c r="I125" s="1270"/>
      <c r="J125" s="1270"/>
      <c r="K125" s="1222"/>
      <c r="L125" s="1336"/>
      <c r="M125" s="1226"/>
      <c r="N125" s="1222"/>
      <c r="O125" s="1222"/>
      <c r="P125" s="1270"/>
      <c r="Q125" s="1270"/>
      <c r="R125" s="1270"/>
      <c r="S125" s="1270"/>
      <c r="T125" s="1336"/>
      <c r="U125" s="1314" t="s">
        <v>1615</v>
      </c>
      <c r="V125" s="1226"/>
      <c r="W125" s="1222"/>
      <c r="X125" s="1222"/>
      <c r="Y125" s="1222"/>
      <c r="Z125" s="1222"/>
      <c r="AA125" s="1222"/>
      <c r="AB125" s="1226"/>
      <c r="AC125" s="1222"/>
      <c r="AD125" s="1222"/>
      <c r="AE125" s="1222"/>
      <c r="AF125" s="1222"/>
      <c r="AG125" s="1222"/>
      <c r="AH125" s="1226"/>
      <c r="AI125" s="1222"/>
      <c r="AJ125" s="1222"/>
      <c r="AK125" s="1222"/>
      <c r="AL125" s="1222"/>
      <c r="AM125" s="1222"/>
      <c r="AN125" s="1222"/>
      <c r="AO125" s="1264">
        <v>266</v>
      </c>
      <c r="AP125" s="1265">
        <v>52.87</v>
      </c>
      <c r="AQ125" s="1377">
        <v>10</v>
      </c>
      <c r="AR125" s="1221">
        <f t="shared" si="18"/>
        <v>3.2</v>
      </c>
      <c r="AS125" s="1221" t="s">
        <v>1569</v>
      </c>
      <c r="AT125" s="1221">
        <f>STDEV(AR124:AR134)</f>
        <v>0.40254379628466558</v>
      </c>
      <c r="BQ125" s="1368"/>
      <c r="BR125" s="1368"/>
      <c r="BS125" s="1368"/>
      <c r="BT125" s="1368"/>
      <c r="BU125" s="176"/>
      <c r="BV125" s="176"/>
      <c r="BW125" s="176"/>
      <c r="BX125" s="176"/>
    </row>
    <row r="126" spans="1:76" ht="18.600000000000001" thickBot="1">
      <c r="A126" s="1272"/>
      <c r="B126" s="1242"/>
      <c r="C126" s="1243"/>
      <c r="D126" s="1243"/>
      <c r="E126" s="1242"/>
      <c r="F126" s="1242"/>
      <c r="G126" s="1244"/>
      <c r="H126" s="1244"/>
      <c r="I126" s="1244"/>
      <c r="J126" s="1244"/>
      <c r="K126" s="1242"/>
      <c r="L126" s="1244"/>
      <c r="M126" s="1245"/>
      <c r="N126" s="1242"/>
      <c r="O126" s="1242"/>
      <c r="P126" s="1244"/>
      <c r="Q126" s="1244"/>
      <c r="R126" s="1244"/>
      <c r="S126" s="1244"/>
      <c r="T126" s="1244"/>
      <c r="U126" s="1245"/>
      <c r="V126" s="1245"/>
      <c r="W126" s="1242"/>
      <c r="X126" s="1242"/>
      <c r="Y126" s="1242"/>
      <c r="Z126" s="1242"/>
      <c r="AA126" s="1242"/>
      <c r="AB126" s="1245"/>
      <c r="AC126" s="1242"/>
      <c r="AD126" s="1242"/>
      <c r="AE126" s="1242"/>
      <c r="AF126" s="1242"/>
      <c r="AG126" s="1242"/>
      <c r="AH126" s="1245"/>
      <c r="AI126" s="1242"/>
      <c r="AJ126" s="1242"/>
      <c r="AK126" s="1242"/>
      <c r="AL126" s="1242"/>
      <c r="AM126" s="1242"/>
      <c r="AN126" s="1242"/>
      <c r="AO126" s="1245"/>
      <c r="AP126" s="1246"/>
      <c r="AQ126" s="1377">
        <v>15</v>
      </c>
      <c r="AR126" s="1221">
        <f t="shared" si="18"/>
        <v>2.6666666666666665</v>
      </c>
      <c r="BQ126" s="1368"/>
      <c r="BR126" s="1368"/>
      <c r="BS126" s="1368"/>
      <c r="BT126" s="1368"/>
      <c r="BU126" s="176"/>
      <c r="BV126" s="176"/>
      <c r="BW126" s="176"/>
      <c r="BX126" s="176"/>
    </row>
    <row r="127" spans="1:76">
      <c r="A127" s="2468" t="s">
        <v>1207</v>
      </c>
      <c r="B127" s="1261" t="s">
        <v>1616</v>
      </c>
      <c r="C127" s="1255" t="s">
        <v>1505</v>
      </c>
      <c r="D127" s="1314" t="s">
        <v>1495</v>
      </c>
      <c r="E127" s="1274">
        <f>AVERAGE(V127,AB127)/100</f>
        <v>0.79500000000000004</v>
      </c>
      <c r="F127" s="1356"/>
      <c r="G127" s="2483">
        <f>AVERAGE(W127,AC127)*BS7</f>
        <v>71.296257089267755</v>
      </c>
      <c r="H127" s="1378">
        <f t="shared" ref="H127:H132" si="19">E127*$G$127</f>
        <v>56.680524385967871</v>
      </c>
      <c r="I127" s="1258">
        <f>(SUM(Y127,AE127,AA127,AG127)/2)/100</f>
        <v>181.935</v>
      </c>
      <c r="J127" s="1379">
        <f>AVERAGE(Z127,AF127)</f>
        <v>1400</v>
      </c>
      <c r="K127" s="2488">
        <v>0.25</v>
      </c>
      <c r="L127" s="1380">
        <f>(($G$127*E127)+I127)*(1+K127)</f>
        <v>298.26940548245989</v>
      </c>
      <c r="M127" s="1282" t="s">
        <v>1617</v>
      </c>
      <c r="N127" s="1257" t="s">
        <v>1618</v>
      </c>
      <c r="O127" s="1318">
        <f>AT142</f>
        <v>1.2922277760819427</v>
      </c>
      <c r="P127" s="1260">
        <f>AP133*BQ22</f>
        <v>62.46494892885444</v>
      </c>
      <c r="Q127" s="1301">
        <f t="shared" ref="Q127:Q129" si="20">O127*P127</f>
        <v>80.718942037405697</v>
      </c>
      <c r="R127" s="1259"/>
      <c r="S127" s="1259"/>
      <c r="T127" s="1276">
        <f>Q127</f>
        <v>80.718942037405697</v>
      </c>
      <c r="U127" s="1255" t="s">
        <v>1619</v>
      </c>
      <c r="V127" s="1282">
        <v>79</v>
      </c>
      <c r="W127" s="1365">
        <v>108</v>
      </c>
      <c r="X127" s="1365">
        <v>8568</v>
      </c>
      <c r="Y127" s="1365">
        <v>5471</v>
      </c>
      <c r="Z127" s="1365">
        <v>2000</v>
      </c>
      <c r="AA127" s="1366">
        <v>22724</v>
      </c>
      <c r="AB127" s="1282">
        <v>80</v>
      </c>
      <c r="AC127" s="1365">
        <v>98</v>
      </c>
      <c r="AD127" s="1365">
        <v>7811</v>
      </c>
      <c r="AE127" s="1365">
        <v>6492</v>
      </c>
      <c r="AF127" s="1365">
        <v>800</v>
      </c>
      <c r="AG127" s="1366">
        <v>1700</v>
      </c>
      <c r="AH127" s="1226"/>
      <c r="AI127" s="1222"/>
      <c r="AJ127" s="1222"/>
      <c r="AK127" s="1222"/>
      <c r="AL127" s="1222"/>
      <c r="AM127" s="1222"/>
      <c r="AN127" s="1222"/>
      <c r="AO127" s="1226"/>
      <c r="AP127" s="1253"/>
      <c r="AQ127" s="1377">
        <v>20</v>
      </c>
      <c r="AR127" s="1221">
        <f t="shared" si="18"/>
        <v>3</v>
      </c>
      <c r="AS127" s="1221" t="s">
        <v>1605</v>
      </c>
      <c r="AT127" s="1221">
        <f>AVERAGE(AR124:AR126)</f>
        <v>3.2484888888888892</v>
      </c>
      <c r="BQ127" s="1368"/>
      <c r="BR127" s="1368"/>
      <c r="BS127" s="1368"/>
      <c r="BT127" s="1368"/>
      <c r="BU127" s="176"/>
      <c r="BV127" s="176"/>
      <c r="BW127" s="176"/>
      <c r="BX127" s="176"/>
    </row>
    <row r="128" spans="1:76">
      <c r="A128" s="2469"/>
      <c r="B128" s="1261" t="s">
        <v>1620</v>
      </c>
      <c r="C128" s="1255" t="s">
        <v>1505</v>
      </c>
      <c r="D128" s="1314" t="s">
        <v>1495</v>
      </c>
      <c r="E128" s="1274">
        <f>AVERAGE(V128,AB128)/200</f>
        <v>0.4375</v>
      </c>
      <c r="F128" s="1356"/>
      <c r="G128" s="2483"/>
      <c r="H128" s="1378">
        <f t="shared" si="19"/>
        <v>31.192112476554641</v>
      </c>
      <c r="I128" s="1258">
        <f>(SUM(Y128,AE128,AA128,AG128)/2)/200</f>
        <v>137.57735</v>
      </c>
      <c r="J128" s="1379">
        <f t="shared" ref="J128:J132" si="21">AVERAGE(Z128,AF128)</f>
        <v>1650</v>
      </c>
      <c r="K128" s="2488"/>
      <c r="L128" s="1380">
        <f>(($G$127*E128)+I128)*(1+K127)</f>
        <v>210.96182809569328</v>
      </c>
      <c r="M128" s="1282" t="s">
        <v>1621</v>
      </c>
      <c r="N128" s="1257" t="s">
        <v>1622</v>
      </c>
      <c r="O128" s="1318">
        <f>AT148</f>
        <v>4.208585643738977</v>
      </c>
      <c r="P128" s="1260">
        <f>AP133*BQ22</f>
        <v>62.46494892885444</v>
      </c>
      <c r="Q128" s="1301">
        <f t="shared" si="20"/>
        <v>262.88908729886521</v>
      </c>
      <c r="R128" s="1259"/>
      <c r="S128" s="1259"/>
      <c r="T128" s="1276">
        <f>Q128</f>
        <v>262.88908729886521</v>
      </c>
      <c r="U128" s="1255" t="s">
        <v>1623</v>
      </c>
      <c r="V128" s="1282">
        <v>79</v>
      </c>
      <c r="W128" s="1365">
        <v>108</v>
      </c>
      <c r="X128" s="1365">
        <v>8568</v>
      </c>
      <c r="Y128" s="1365">
        <v>6152</v>
      </c>
      <c r="Z128" s="1365">
        <v>2500</v>
      </c>
      <c r="AA128" s="1366">
        <v>37617</v>
      </c>
      <c r="AB128" s="1282">
        <v>96</v>
      </c>
      <c r="AC128" s="1365">
        <v>97</v>
      </c>
      <c r="AD128" s="1365">
        <v>9354</v>
      </c>
      <c r="AE128" s="1365">
        <v>8561.94</v>
      </c>
      <c r="AF128" s="1365">
        <v>800</v>
      </c>
      <c r="AG128" s="1366">
        <v>2700</v>
      </c>
      <c r="AH128" s="1226"/>
      <c r="AI128" s="1222"/>
      <c r="AJ128" s="1222"/>
      <c r="AK128" s="1222"/>
      <c r="AL128" s="1222"/>
      <c r="AM128" s="1222"/>
      <c r="AN128" s="1222"/>
      <c r="AO128" s="1226"/>
      <c r="AP128" s="1253"/>
      <c r="AQ128" s="1377">
        <v>25</v>
      </c>
      <c r="AR128" s="1221">
        <f t="shared" si="18"/>
        <v>2.7428399999999997</v>
      </c>
      <c r="AS128" s="1221" t="s">
        <v>1607</v>
      </c>
      <c r="AT128" s="1221">
        <f>AVERAGE(AR127:AR134)</f>
        <v>2.7161883333333332</v>
      </c>
      <c r="BQ128" s="1368"/>
      <c r="BR128" s="1368"/>
      <c r="BS128" s="1368"/>
      <c r="BT128" s="1368"/>
      <c r="BU128" s="176"/>
      <c r="BV128" s="176"/>
      <c r="BW128" s="176"/>
      <c r="BX128" s="176"/>
    </row>
    <row r="129" spans="1:78">
      <c r="A129" s="2469"/>
      <c r="B129" s="1261" t="s">
        <v>1624</v>
      </c>
      <c r="C129" s="1255" t="s">
        <v>1505</v>
      </c>
      <c r="D129" s="1314" t="s">
        <v>1495</v>
      </c>
      <c r="E129" s="1274">
        <f>AVERAGE(V129,AB129)/300</f>
        <v>0.38166666666666665</v>
      </c>
      <c r="F129" s="1356"/>
      <c r="G129" s="2483"/>
      <c r="H129" s="1378">
        <f t="shared" si="19"/>
        <v>27.211404789070524</v>
      </c>
      <c r="I129" s="1258">
        <f>(SUM(Y129,AE129,AA129,AG129)/2)/300</f>
        <v>133.78184999999999</v>
      </c>
      <c r="J129" s="1379">
        <f t="shared" si="21"/>
        <v>2350</v>
      </c>
      <c r="K129" s="2488"/>
      <c r="L129" s="1380">
        <f>(($G$127*E129)+I129)*(1+K127)</f>
        <v>201.24156848633814</v>
      </c>
      <c r="M129" s="1264" t="s">
        <v>1625</v>
      </c>
      <c r="N129" s="1309"/>
      <c r="O129" s="1381">
        <v>1.8</v>
      </c>
      <c r="P129" s="1260">
        <v>67.88</v>
      </c>
      <c r="Q129" s="1301">
        <f t="shared" si="20"/>
        <v>122.184</v>
      </c>
      <c r="R129" s="1259"/>
      <c r="S129" s="1259"/>
      <c r="T129" s="1276">
        <f>Q129</f>
        <v>122.184</v>
      </c>
      <c r="U129" s="1255" t="s">
        <v>1626</v>
      </c>
      <c r="V129" s="1282">
        <v>114</v>
      </c>
      <c r="W129" s="1365">
        <v>108</v>
      </c>
      <c r="X129" s="1365">
        <v>12278</v>
      </c>
      <c r="Y129" s="1365">
        <v>6500</v>
      </c>
      <c r="Z129" s="1365">
        <v>3500</v>
      </c>
      <c r="AA129" s="1366">
        <v>57892</v>
      </c>
      <c r="AB129" s="1282">
        <v>115</v>
      </c>
      <c r="AC129" s="1365">
        <v>98</v>
      </c>
      <c r="AD129" s="1365">
        <v>11225</v>
      </c>
      <c r="AE129" s="1365">
        <v>12077.11</v>
      </c>
      <c r="AF129" s="1365">
        <v>1200</v>
      </c>
      <c r="AG129" s="1366">
        <v>3800</v>
      </c>
      <c r="AH129" s="1226"/>
      <c r="AI129" s="1222"/>
      <c r="AJ129" s="1222"/>
      <c r="AK129" s="1222"/>
      <c r="AL129" s="1222"/>
      <c r="AM129" s="1222"/>
      <c r="AN129" s="1222"/>
      <c r="AO129" s="1226"/>
      <c r="AP129" s="1253"/>
      <c r="AQ129" s="1377">
        <v>30</v>
      </c>
      <c r="AR129" s="1221">
        <f t="shared" si="18"/>
        <v>2.6666666666666665</v>
      </c>
      <c r="BQ129" s="1368"/>
      <c r="BR129" s="1368"/>
      <c r="BS129" s="1368"/>
      <c r="BT129" s="1368"/>
      <c r="BU129" s="176"/>
      <c r="BV129" s="176"/>
      <c r="BW129" s="176"/>
      <c r="BX129" s="176"/>
    </row>
    <row r="130" spans="1:78">
      <c r="A130" s="2469"/>
      <c r="B130" s="1261" t="s">
        <v>1627</v>
      </c>
      <c r="C130" s="1255" t="s">
        <v>1505</v>
      </c>
      <c r="D130" s="1314" t="s">
        <v>1495</v>
      </c>
      <c r="E130" s="1274">
        <f>AVERAGE(V130,AB130)/100</f>
        <v>0.82499999999999996</v>
      </c>
      <c r="F130" s="1356"/>
      <c r="G130" s="2483"/>
      <c r="H130" s="1378">
        <f t="shared" si="19"/>
        <v>58.819412098645891</v>
      </c>
      <c r="I130" s="1258">
        <f>(SUM(Y130,AE130,AA130,AG130)/2)/100</f>
        <v>182.05360000000002</v>
      </c>
      <c r="J130" s="1379">
        <f t="shared" si="21"/>
        <v>3500</v>
      </c>
      <c r="K130" s="2488"/>
      <c r="L130" s="1380">
        <f>(($G$127*E130)+I130)*(1+K127)</f>
        <v>301.09126512330738</v>
      </c>
      <c r="M130" s="1226"/>
      <c r="N130" s="1222"/>
      <c r="O130" s="1222"/>
      <c r="P130" s="1270"/>
      <c r="Q130" s="1270"/>
      <c r="R130" s="1270"/>
      <c r="S130" s="1270"/>
      <c r="T130" s="1270"/>
      <c r="U130" s="1255" t="s">
        <v>1628</v>
      </c>
      <c r="V130" s="1264">
        <v>75</v>
      </c>
      <c r="W130" s="1365">
        <v>108</v>
      </c>
      <c r="X130" s="1365">
        <v>8120</v>
      </c>
      <c r="Y130" s="1365">
        <v>5471</v>
      </c>
      <c r="Z130" s="1365">
        <v>4000</v>
      </c>
      <c r="AA130" s="1366">
        <v>23186</v>
      </c>
      <c r="AB130" s="1282">
        <v>90</v>
      </c>
      <c r="AC130" s="1365">
        <v>98</v>
      </c>
      <c r="AD130" s="1365">
        <v>8816</v>
      </c>
      <c r="AE130" s="1365">
        <v>5953.72</v>
      </c>
      <c r="AF130" s="1365">
        <v>3000</v>
      </c>
      <c r="AG130" s="1366">
        <v>1800</v>
      </c>
      <c r="AH130" s="1226"/>
      <c r="AI130" s="1222"/>
      <c r="AJ130" s="1222"/>
      <c r="AK130" s="1222"/>
      <c r="AL130" s="1222"/>
      <c r="AM130" s="1222"/>
      <c r="AN130" s="1222"/>
      <c r="AO130" s="1226"/>
      <c r="AP130" s="1253"/>
      <c r="AQ130" s="1377">
        <v>40</v>
      </c>
      <c r="AR130" s="1221">
        <f t="shared" si="18"/>
        <v>3</v>
      </c>
      <c r="BQ130" s="1368"/>
      <c r="BR130" s="1368"/>
      <c r="BS130" s="1368"/>
      <c r="BT130" s="1368"/>
      <c r="BU130" s="176"/>
      <c r="BV130" s="176"/>
      <c r="BW130" s="176"/>
      <c r="BX130" s="176"/>
    </row>
    <row r="131" spans="1:78">
      <c r="A131" s="2469"/>
      <c r="B131" s="1261" t="s">
        <v>1629</v>
      </c>
      <c r="C131" s="1255" t="s">
        <v>1505</v>
      </c>
      <c r="D131" s="1314" t="s">
        <v>1495</v>
      </c>
      <c r="E131" s="1274">
        <f>AVERAGE(V131,AB131)/200</f>
        <v>0.45250000000000001</v>
      </c>
      <c r="F131" s="1356"/>
      <c r="G131" s="2483"/>
      <c r="H131" s="1378">
        <f t="shared" si="19"/>
        <v>32.261556332893662</v>
      </c>
      <c r="I131" s="1258">
        <f>(SUM(Y131,AE131,AA131,AG131)/2)/200</f>
        <v>142.78042500000001</v>
      </c>
      <c r="J131" s="1379">
        <f t="shared" si="21"/>
        <v>4250</v>
      </c>
      <c r="K131" s="2488"/>
      <c r="L131" s="1380">
        <f>(($G$127*E131)+I131)*(1+K127)</f>
        <v>218.80247666611709</v>
      </c>
      <c r="M131" s="1226"/>
      <c r="N131" s="1222"/>
      <c r="O131" s="1335"/>
      <c r="P131" s="1270"/>
      <c r="Q131" s="1270"/>
      <c r="R131" s="1270"/>
      <c r="S131" s="1270"/>
      <c r="T131" s="1336"/>
      <c r="U131" s="1255" t="s">
        <v>1630</v>
      </c>
      <c r="V131" s="1264">
        <v>75</v>
      </c>
      <c r="W131" s="1365">
        <v>108</v>
      </c>
      <c r="X131" s="1365">
        <v>8120</v>
      </c>
      <c r="Y131" s="1365">
        <v>7152</v>
      </c>
      <c r="Z131" s="1365">
        <v>5000</v>
      </c>
      <c r="AA131" s="1366">
        <v>38553</v>
      </c>
      <c r="AB131" s="1282">
        <v>106</v>
      </c>
      <c r="AC131" s="1365">
        <v>98</v>
      </c>
      <c r="AD131" s="1365">
        <v>10359</v>
      </c>
      <c r="AE131" s="1365">
        <v>8607.17</v>
      </c>
      <c r="AF131" s="1365">
        <v>3500</v>
      </c>
      <c r="AG131" s="1366">
        <v>2800</v>
      </c>
      <c r="AH131" s="1226"/>
      <c r="AI131" s="1222"/>
      <c r="AJ131" s="1222"/>
      <c r="AK131" s="1222"/>
      <c r="AL131" s="1222"/>
      <c r="AM131" s="1222"/>
      <c r="AN131" s="1222"/>
      <c r="AO131" s="1226"/>
      <c r="AP131" s="1253"/>
      <c r="AQ131" s="1377">
        <v>50</v>
      </c>
      <c r="AR131" s="1221">
        <f t="shared" si="18"/>
        <v>2.66</v>
      </c>
      <c r="BQ131" s="1368"/>
      <c r="BR131" s="1368"/>
      <c r="BS131" s="1368"/>
      <c r="BT131" s="1368"/>
      <c r="BU131" s="176"/>
      <c r="BV131" s="176"/>
      <c r="BW131" s="176"/>
      <c r="BX131" s="176"/>
    </row>
    <row r="132" spans="1:78">
      <c r="A132" s="2469"/>
      <c r="B132" s="1261" t="s">
        <v>1631</v>
      </c>
      <c r="C132" s="1255" t="s">
        <v>1505</v>
      </c>
      <c r="D132" s="1314" t="s">
        <v>1495</v>
      </c>
      <c r="E132" s="1274">
        <f>AVERAGE(V132,AB132)/300</f>
        <v>0.39500000000000002</v>
      </c>
      <c r="F132" s="1356"/>
      <c r="G132" s="2483"/>
      <c r="H132" s="1378">
        <f t="shared" si="19"/>
        <v>28.162021550260764</v>
      </c>
      <c r="I132" s="1258">
        <f>(SUM(Y132,AE132,AA132,AG132)/2)/300</f>
        <v>138.12328333333335</v>
      </c>
      <c r="J132" s="1379">
        <f t="shared" si="21"/>
        <v>5000</v>
      </c>
      <c r="K132" s="2489"/>
      <c r="L132" s="1380">
        <f>(($G$127*E132)+I132)*(1+K127)</f>
        <v>207.85663110449264</v>
      </c>
      <c r="M132" s="1226"/>
      <c r="N132" s="1222"/>
      <c r="O132" s="1222"/>
      <c r="P132" s="1270"/>
      <c r="Q132" s="1270"/>
      <c r="R132" s="1270"/>
      <c r="S132" s="1270"/>
      <c r="T132" s="1336"/>
      <c r="U132" s="1255" t="s">
        <v>1632</v>
      </c>
      <c r="V132" s="1264">
        <v>114</v>
      </c>
      <c r="W132" s="1365">
        <v>108</v>
      </c>
      <c r="X132" s="1365">
        <v>12278</v>
      </c>
      <c r="Y132" s="1365">
        <v>7500</v>
      </c>
      <c r="Z132" s="1365">
        <v>6000</v>
      </c>
      <c r="AA132" s="1366">
        <v>58962</v>
      </c>
      <c r="AB132" s="1282">
        <v>123</v>
      </c>
      <c r="AC132" s="1365">
        <v>98</v>
      </c>
      <c r="AD132" s="1365">
        <v>11999</v>
      </c>
      <c r="AE132" s="1365">
        <v>12511.97</v>
      </c>
      <c r="AF132" s="1365">
        <v>4000</v>
      </c>
      <c r="AG132" s="1366">
        <v>3900</v>
      </c>
      <c r="AH132" s="1226"/>
      <c r="AI132" s="1222"/>
      <c r="AJ132" s="1222"/>
      <c r="AK132" s="1222"/>
      <c r="AL132" s="1222"/>
      <c r="AM132" s="1222"/>
      <c r="AN132" s="1222"/>
      <c r="AO132" s="1226"/>
      <c r="AP132" s="1253"/>
      <c r="AQ132" s="1377">
        <v>60</v>
      </c>
      <c r="AR132" s="1221">
        <f t="shared" si="18"/>
        <v>2.5</v>
      </c>
      <c r="BQ132" s="1368"/>
      <c r="BR132" s="1368"/>
      <c r="BS132" s="1368"/>
      <c r="BT132" s="1368"/>
      <c r="BU132" s="176"/>
      <c r="BV132" s="176"/>
      <c r="BW132" s="176"/>
      <c r="BX132" s="176"/>
    </row>
    <row r="133" spans="1:78">
      <c r="A133" s="2469"/>
      <c r="B133" s="1226"/>
      <c r="C133" s="1223"/>
      <c r="D133" s="1223"/>
      <c r="E133" s="1263"/>
      <c r="F133" s="1263"/>
      <c r="G133" s="1358"/>
      <c r="H133" s="1358"/>
      <c r="I133" s="1358"/>
      <c r="J133" s="1270"/>
      <c r="K133" s="1222"/>
      <c r="L133" s="1270"/>
      <c r="M133" s="1226"/>
      <c r="N133" s="1222"/>
      <c r="O133" s="1222"/>
      <c r="P133" s="1270"/>
      <c r="Q133" s="1270"/>
      <c r="R133" s="1270"/>
      <c r="S133" s="1270"/>
      <c r="T133" s="1336"/>
      <c r="U133" s="1314" t="s">
        <v>1633</v>
      </c>
      <c r="V133" s="1226"/>
      <c r="W133" s="1222"/>
      <c r="X133" s="1222"/>
      <c r="Y133" s="1222"/>
      <c r="Z133" s="1222"/>
      <c r="AA133" s="1222"/>
      <c r="AB133" s="1226"/>
      <c r="AC133" s="1222"/>
      <c r="AD133" s="1222"/>
      <c r="AE133" s="1222"/>
      <c r="AF133" s="1222"/>
      <c r="AG133" s="1222"/>
      <c r="AH133" s="1226"/>
      <c r="AI133" s="1222"/>
      <c r="AJ133" s="1222"/>
      <c r="AK133" s="1222"/>
      <c r="AL133" s="1222"/>
      <c r="AM133" s="1222"/>
      <c r="AN133" s="1222"/>
      <c r="AO133" s="1282">
        <v>228</v>
      </c>
      <c r="AP133" s="1283">
        <v>53.94</v>
      </c>
      <c r="AQ133" s="1377">
        <v>80</v>
      </c>
      <c r="AR133" s="1221">
        <f t="shared" si="18"/>
        <v>2.5</v>
      </c>
      <c r="BQ133" s="1368"/>
      <c r="BR133" s="1368"/>
      <c r="BS133" s="1368"/>
      <c r="BT133" s="1368"/>
      <c r="BU133" s="176"/>
      <c r="BV133" s="176"/>
      <c r="BW133" s="176"/>
      <c r="BX133" s="176"/>
    </row>
    <row r="134" spans="1:78">
      <c r="A134" s="2469"/>
      <c r="B134" s="1226"/>
      <c r="C134" s="1223"/>
      <c r="D134" s="1223"/>
      <c r="E134" s="1222"/>
      <c r="F134" s="1222"/>
      <c r="G134" s="1270"/>
      <c r="H134" s="1270"/>
      <c r="I134" s="1270"/>
      <c r="J134" s="1270"/>
      <c r="K134" s="1222"/>
      <c r="L134" s="1270"/>
      <c r="M134" s="1226"/>
      <c r="N134" s="1222"/>
      <c r="O134" s="1222"/>
      <c r="P134" s="1270"/>
      <c r="Q134" s="1270"/>
      <c r="R134" s="1270"/>
      <c r="S134" s="1270"/>
      <c r="T134" s="1336"/>
      <c r="U134" s="1314" t="s">
        <v>1634</v>
      </c>
      <c r="V134" s="1226"/>
      <c r="W134" s="1222"/>
      <c r="X134" s="1222"/>
      <c r="Y134" s="1222"/>
      <c r="Z134" s="1222"/>
      <c r="AA134" s="1222"/>
      <c r="AB134" s="1226"/>
      <c r="AC134" s="1222"/>
      <c r="AD134" s="1222"/>
      <c r="AE134" s="1222"/>
      <c r="AF134" s="1222"/>
      <c r="AG134" s="1222"/>
      <c r="AH134" s="1226"/>
      <c r="AI134" s="1222"/>
      <c r="AJ134" s="1222"/>
      <c r="AK134" s="1222"/>
      <c r="AL134" s="1222"/>
      <c r="AM134" s="1222"/>
      <c r="AN134" s="1222"/>
      <c r="AO134" s="1282">
        <v>246</v>
      </c>
      <c r="AP134" s="1283">
        <v>53.94</v>
      </c>
      <c r="AQ134" s="1221">
        <v>100</v>
      </c>
      <c r="AR134" s="1221">
        <f t="shared" si="18"/>
        <v>2.66</v>
      </c>
      <c r="BQ134" s="1368"/>
      <c r="BR134" s="1368"/>
      <c r="BS134" s="1368"/>
      <c r="BT134" s="1368"/>
      <c r="BU134" s="176"/>
      <c r="BV134" s="176"/>
      <c r="BW134" s="176"/>
      <c r="BX134" s="176"/>
    </row>
    <row r="135" spans="1:78" ht="9" customHeight="1">
      <c r="A135" s="2469"/>
      <c r="B135" s="1226"/>
      <c r="C135" s="1223"/>
      <c r="D135" s="1223"/>
      <c r="E135" s="1222"/>
      <c r="F135" s="1222"/>
      <c r="G135" s="1270"/>
      <c r="H135" s="1270"/>
      <c r="I135" s="1270"/>
      <c r="J135" s="1270"/>
      <c r="K135" s="1222"/>
      <c r="L135" s="1270"/>
      <c r="M135" s="1226"/>
      <c r="N135" s="1222"/>
      <c r="O135" s="1222"/>
      <c r="P135" s="1270"/>
      <c r="Q135" s="1270"/>
      <c r="R135" s="1270"/>
      <c r="S135" s="1270"/>
      <c r="T135" s="1336"/>
      <c r="U135" s="1314" t="s">
        <v>1635</v>
      </c>
      <c r="V135" s="1226"/>
      <c r="W135" s="1222"/>
      <c r="X135" s="1222"/>
      <c r="Y135" s="1222"/>
      <c r="Z135" s="1222"/>
      <c r="AA135" s="1222"/>
      <c r="AB135" s="1226"/>
      <c r="AC135" s="1222"/>
      <c r="AD135" s="1222"/>
      <c r="AE135" s="1222"/>
      <c r="AF135" s="1222"/>
      <c r="AG135" s="1222"/>
      <c r="AH135" s="1226"/>
      <c r="AI135" s="1222"/>
      <c r="AJ135" s="1222"/>
      <c r="AK135" s="1222"/>
      <c r="AL135" s="1222"/>
      <c r="AM135" s="1222"/>
      <c r="AN135" s="1222"/>
      <c r="AO135" s="1282">
        <v>250</v>
      </c>
      <c r="AP135" s="1283">
        <v>53.94</v>
      </c>
      <c r="BQ135" s="1368"/>
      <c r="BR135" s="1368"/>
      <c r="BS135" s="1368"/>
      <c r="BT135" s="1368"/>
      <c r="BU135" s="176"/>
      <c r="BV135" s="176"/>
      <c r="BW135" s="176"/>
      <c r="BX135" s="176"/>
    </row>
    <row r="136" spans="1:78">
      <c r="A136" s="2469"/>
      <c r="B136" s="1226"/>
      <c r="C136" s="1223"/>
      <c r="D136" s="1223"/>
      <c r="E136" s="1222"/>
      <c r="F136" s="1222"/>
      <c r="G136" s="1270"/>
      <c r="H136" s="1270"/>
      <c r="I136" s="1270"/>
      <c r="J136" s="1270"/>
      <c r="K136" s="1222"/>
      <c r="L136" s="1270"/>
      <c r="M136" s="1226"/>
      <c r="N136" s="1222"/>
      <c r="O136" s="1222"/>
      <c r="P136" s="1270"/>
      <c r="Q136" s="1270"/>
      <c r="R136" s="1270"/>
      <c r="S136" s="1270"/>
      <c r="T136" s="1336"/>
      <c r="U136" s="1314" t="s">
        <v>1636</v>
      </c>
      <c r="V136" s="1226"/>
      <c r="W136" s="1222"/>
      <c r="X136" s="1222"/>
      <c r="Y136" s="1222"/>
      <c r="Z136" s="1222"/>
      <c r="AA136" s="1222"/>
      <c r="AB136" s="1226"/>
      <c r="AC136" s="1222"/>
      <c r="AD136" s="1222"/>
      <c r="AE136" s="1222"/>
      <c r="AF136" s="1222"/>
      <c r="AG136" s="1222"/>
      <c r="AH136" s="1226"/>
      <c r="AI136" s="1222"/>
      <c r="AJ136" s="1222"/>
      <c r="AK136" s="1222"/>
      <c r="AL136" s="1222"/>
      <c r="AM136" s="1222"/>
      <c r="AN136" s="1222"/>
      <c r="AO136" s="1264">
        <v>258</v>
      </c>
      <c r="AP136" s="1283">
        <v>53.94</v>
      </c>
      <c r="BQ136" s="1368"/>
      <c r="BR136" s="1368"/>
      <c r="BS136" s="1368"/>
      <c r="BT136" s="1368"/>
      <c r="BU136" s="176"/>
      <c r="BV136" s="176"/>
      <c r="BW136" s="176"/>
      <c r="BX136" s="176"/>
    </row>
    <row r="137" spans="1:78">
      <c r="A137" s="2469"/>
      <c r="B137" s="1226"/>
      <c r="C137" s="1223"/>
      <c r="D137" s="1223"/>
      <c r="E137" s="1222"/>
      <c r="F137" s="1222"/>
      <c r="G137" s="1270"/>
      <c r="H137" s="1270"/>
      <c r="I137" s="1270"/>
      <c r="J137" s="1270"/>
      <c r="K137" s="1222"/>
      <c r="L137" s="1270"/>
      <c r="M137" s="1226"/>
      <c r="N137" s="1222"/>
      <c r="O137" s="1222"/>
      <c r="P137" s="1270"/>
      <c r="Q137" s="1270"/>
      <c r="R137" s="1270"/>
      <c r="S137" s="1270"/>
      <c r="T137" s="1336"/>
      <c r="U137" s="1314" t="s">
        <v>1637</v>
      </c>
      <c r="V137" s="1226"/>
      <c r="W137" s="1222"/>
      <c r="X137" s="1222"/>
      <c r="Y137" s="1222"/>
      <c r="Z137" s="1222"/>
      <c r="AA137" s="1222"/>
      <c r="AB137" s="1226"/>
      <c r="AC137" s="1222"/>
      <c r="AD137" s="1222"/>
      <c r="AE137" s="1222"/>
      <c r="AF137" s="1222"/>
      <c r="AG137" s="1222"/>
      <c r="AH137" s="1226"/>
      <c r="AI137" s="1222"/>
      <c r="AJ137" s="1222"/>
      <c r="AK137" s="1222"/>
      <c r="AL137" s="1222"/>
      <c r="AM137" s="1222"/>
      <c r="AN137" s="1222"/>
      <c r="AO137" s="1264">
        <v>266</v>
      </c>
      <c r="AP137" s="1283">
        <v>53.94</v>
      </c>
      <c r="BQ137" s="1368"/>
      <c r="BR137" s="1368"/>
      <c r="BS137" s="1368"/>
      <c r="BT137" s="1368"/>
      <c r="BU137" s="176"/>
      <c r="BV137" s="176"/>
      <c r="BW137" s="176"/>
      <c r="BX137" s="176"/>
    </row>
    <row r="138" spans="1:78">
      <c r="A138" s="2469"/>
      <c r="B138" s="1226"/>
      <c r="C138" s="1223"/>
      <c r="D138" s="1223"/>
      <c r="E138" s="1222"/>
      <c r="F138" s="1222"/>
      <c r="G138" s="1270"/>
      <c r="H138" s="1270"/>
      <c r="I138" s="1270"/>
      <c r="J138" s="1270"/>
      <c r="K138" s="1222"/>
      <c r="L138" s="1270"/>
      <c r="M138" s="1226"/>
      <c r="N138" s="1222"/>
      <c r="O138" s="1222"/>
      <c r="P138" s="1270"/>
      <c r="Q138" s="1270"/>
      <c r="R138" s="1270"/>
      <c r="S138" s="1270"/>
      <c r="T138" s="1336"/>
      <c r="U138" s="1314" t="s">
        <v>1638</v>
      </c>
      <c r="V138" s="1226"/>
      <c r="W138" s="1222"/>
      <c r="X138" s="1222"/>
      <c r="Y138" s="1222"/>
      <c r="Z138" s="1222"/>
      <c r="AA138" s="1222"/>
      <c r="AB138" s="1226"/>
      <c r="AC138" s="1222"/>
      <c r="AD138" s="1222"/>
      <c r="AE138" s="1222"/>
      <c r="AF138" s="1222"/>
      <c r="AG138" s="1222"/>
      <c r="AH138" s="1226"/>
      <c r="AI138" s="1222"/>
      <c r="AJ138" s="1222"/>
      <c r="AK138" s="1222"/>
      <c r="AL138" s="1222"/>
      <c r="AM138" s="1222"/>
      <c r="AN138" s="1222"/>
      <c r="AO138" s="1264">
        <v>275</v>
      </c>
      <c r="AP138" s="1283">
        <v>53.94</v>
      </c>
      <c r="BQ138" s="1368"/>
      <c r="BR138" s="1368"/>
      <c r="BS138" s="1368"/>
      <c r="BT138" s="1368"/>
      <c r="BU138" s="176"/>
      <c r="BV138" s="176"/>
      <c r="BW138" s="176"/>
      <c r="BX138" s="176"/>
    </row>
    <row r="139" spans="1:78">
      <c r="A139" s="2469"/>
      <c r="B139" s="1226"/>
      <c r="C139" s="1223"/>
      <c r="D139" s="1223"/>
      <c r="E139" s="1222"/>
      <c r="F139" s="1222"/>
      <c r="G139" s="1270"/>
      <c r="H139" s="1270"/>
      <c r="I139" s="1270"/>
      <c r="J139" s="1270"/>
      <c r="K139" s="1222"/>
      <c r="L139" s="1270"/>
      <c r="M139" s="1226"/>
      <c r="N139" s="1222"/>
      <c r="O139" s="1222"/>
      <c r="P139" s="1270"/>
      <c r="Q139" s="1270"/>
      <c r="R139" s="1270"/>
      <c r="S139" s="1270"/>
      <c r="T139" s="1336"/>
      <c r="U139" s="1314" t="s">
        <v>1639</v>
      </c>
      <c r="V139" s="1226"/>
      <c r="W139" s="1222"/>
      <c r="X139" s="1222"/>
      <c r="Y139" s="1222"/>
      <c r="Z139" s="1222"/>
      <c r="AA139" s="1222"/>
      <c r="AB139" s="1226"/>
      <c r="AC139" s="1222"/>
      <c r="AD139" s="1222"/>
      <c r="AE139" s="1222"/>
      <c r="AF139" s="1222"/>
      <c r="AG139" s="1222"/>
      <c r="AH139" s="1226"/>
      <c r="AI139" s="1222"/>
      <c r="AJ139" s="1222"/>
      <c r="AK139" s="1222"/>
      <c r="AL139" s="1222"/>
      <c r="AM139" s="1222"/>
      <c r="AN139" s="1222"/>
      <c r="AO139" s="1264">
        <v>94.117999999999995</v>
      </c>
      <c r="AP139" s="1283">
        <v>53.94</v>
      </c>
    </row>
    <row r="140" spans="1:78">
      <c r="A140" s="2469"/>
      <c r="B140" s="1226"/>
      <c r="C140" s="1223"/>
      <c r="D140" s="1223"/>
      <c r="E140" s="1222"/>
      <c r="F140" s="1222"/>
      <c r="G140" s="1270"/>
      <c r="H140" s="1270"/>
      <c r="I140" s="1270"/>
      <c r="J140" s="1270"/>
      <c r="K140" s="1222"/>
      <c r="L140" s="1270"/>
      <c r="M140" s="1226"/>
      <c r="N140" s="1222"/>
      <c r="O140" s="1222"/>
      <c r="P140" s="1270"/>
      <c r="Q140" s="1270"/>
      <c r="R140" s="1270"/>
      <c r="S140" s="1270"/>
      <c r="T140" s="1336"/>
      <c r="U140" s="1314" t="s">
        <v>1640</v>
      </c>
      <c r="V140" s="1226"/>
      <c r="W140" s="1222"/>
      <c r="X140" s="1222"/>
      <c r="Y140" s="1222"/>
      <c r="Z140" s="1222"/>
      <c r="AA140" s="1222"/>
      <c r="AB140" s="1226"/>
      <c r="AC140" s="1222"/>
      <c r="AD140" s="1222"/>
      <c r="AE140" s="1222"/>
      <c r="AF140" s="1222"/>
      <c r="AG140" s="1222"/>
      <c r="AH140" s="1226"/>
      <c r="AI140" s="1222"/>
      <c r="AJ140" s="1222"/>
      <c r="AK140" s="1222"/>
      <c r="AL140" s="1222"/>
      <c r="AM140" s="1222"/>
      <c r="AN140" s="1222"/>
      <c r="AO140" s="1264">
        <v>94.117999999999995</v>
      </c>
      <c r="AP140" s="1283">
        <v>53.94</v>
      </c>
    </row>
    <row r="141" spans="1:78" s="1221" customFormat="1">
      <c r="A141" s="2469"/>
      <c r="B141" s="1226"/>
      <c r="C141" s="1223"/>
      <c r="D141" s="1223"/>
      <c r="E141" s="1222"/>
      <c r="F141" s="1222"/>
      <c r="G141" s="1270"/>
      <c r="H141" s="1270"/>
      <c r="I141" s="1270"/>
      <c r="J141" s="1270"/>
      <c r="K141" s="1222"/>
      <c r="L141" s="1270"/>
      <c r="M141" s="1226"/>
      <c r="N141" s="1222"/>
      <c r="O141" s="1222"/>
      <c r="P141" s="1270"/>
      <c r="Q141" s="1270"/>
      <c r="R141" s="1270"/>
      <c r="S141" s="1270"/>
      <c r="T141" s="1336"/>
      <c r="U141" s="1314" t="s">
        <v>1641</v>
      </c>
      <c r="V141" s="1226"/>
      <c r="W141" s="1222"/>
      <c r="X141" s="1222"/>
      <c r="Y141" s="1222"/>
      <c r="Z141" s="1222"/>
      <c r="AA141" s="1222"/>
      <c r="AB141" s="1226"/>
      <c r="AC141" s="1222"/>
      <c r="AD141" s="1222"/>
      <c r="AE141" s="1222"/>
      <c r="AF141" s="1222"/>
      <c r="AG141" s="1222"/>
      <c r="AH141" s="1226"/>
      <c r="AI141" s="1222"/>
      <c r="AJ141" s="1222"/>
      <c r="AK141" s="1222"/>
      <c r="AL141" s="1222"/>
      <c r="AM141" s="1222"/>
      <c r="AN141" s="1222"/>
      <c r="AO141" s="1264">
        <v>94.117999999999995</v>
      </c>
      <c r="AP141" s="1283">
        <v>53.94</v>
      </c>
      <c r="AQ141" s="1221" t="s">
        <v>1505</v>
      </c>
      <c r="AR141" s="1221" t="s">
        <v>1601</v>
      </c>
      <c r="BJ141" s="95"/>
      <c r="BK141" s="153"/>
      <c r="BL141" s="153"/>
      <c r="BM141" s="153"/>
      <c r="BN141" s="153"/>
      <c r="BO141" s="153"/>
      <c r="BP141" s="153"/>
      <c r="BQ141" s="153"/>
      <c r="BR141" s="153"/>
      <c r="BS141" s="153"/>
      <c r="BT141" s="153"/>
      <c r="BU141" s="95"/>
      <c r="BV141" s="95"/>
      <c r="BW141" s="95"/>
      <c r="BX141" s="95"/>
      <c r="BY141" s="95"/>
      <c r="BZ141" s="95"/>
    </row>
    <row r="142" spans="1:78" s="1221" customFormat="1">
      <c r="A142" s="2469"/>
      <c r="B142" s="1226"/>
      <c r="C142" s="1223"/>
      <c r="D142" s="1223"/>
      <c r="E142" s="1222"/>
      <c r="F142" s="1222"/>
      <c r="G142" s="1270"/>
      <c r="H142" s="1270"/>
      <c r="I142" s="1270"/>
      <c r="J142" s="1270"/>
      <c r="K142" s="1222"/>
      <c r="L142" s="1270"/>
      <c r="M142" s="1226"/>
      <c r="N142" s="1222"/>
      <c r="O142" s="1222"/>
      <c r="P142" s="1270"/>
      <c r="Q142" s="1270"/>
      <c r="R142" s="1270"/>
      <c r="S142" s="1270"/>
      <c r="T142" s="1336"/>
      <c r="U142" s="1314" t="s">
        <v>1642</v>
      </c>
      <c r="V142" s="1226"/>
      <c r="W142" s="1222"/>
      <c r="X142" s="1222"/>
      <c r="Y142" s="1222"/>
      <c r="Z142" s="1222"/>
      <c r="AA142" s="1222"/>
      <c r="AB142" s="1226"/>
      <c r="AC142" s="1222"/>
      <c r="AD142" s="1222"/>
      <c r="AE142" s="1222"/>
      <c r="AF142" s="1222"/>
      <c r="AG142" s="1222"/>
      <c r="AH142" s="1226"/>
      <c r="AI142" s="1222"/>
      <c r="AJ142" s="1222"/>
      <c r="AK142" s="1222"/>
      <c r="AL142" s="1222"/>
      <c r="AM142" s="1222"/>
      <c r="AN142" s="1222"/>
      <c r="AO142" s="1264">
        <v>94.117999999999995</v>
      </c>
      <c r="AP142" s="1283">
        <v>53.94</v>
      </c>
      <c r="AQ142" s="1221">
        <v>130</v>
      </c>
      <c r="AR142" s="1221">
        <f t="shared" ref="AR142:AR156" si="22">AO133/AQ142</f>
        <v>1.7538461538461538</v>
      </c>
      <c r="AS142" s="1221" t="s">
        <v>1568</v>
      </c>
      <c r="AT142" s="1221">
        <f>AVERAGE(AR142:AR147)</f>
        <v>1.2922277760819427</v>
      </c>
      <c r="BJ142" s="95"/>
      <c r="BK142" s="153"/>
      <c r="BL142" s="153"/>
      <c r="BM142" s="153"/>
      <c r="BN142" s="153"/>
      <c r="BO142" s="153"/>
      <c r="BP142" s="153"/>
      <c r="BQ142" s="153"/>
      <c r="BR142" s="153"/>
      <c r="BS142" s="153"/>
      <c r="BT142" s="153"/>
      <c r="BU142" s="95"/>
      <c r="BV142" s="95"/>
      <c r="BW142" s="95"/>
      <c r="BX142" s="95"/>
      <c r="BY142" s="95"/>
      <c r="BZ142" s="95"/>
    </row>
    <row r="143" spans="1:78" s="1221" customFormat="1">
      <c r="A143" s="2469"/>
      <c r="B143" s="1226"/>
      <c r="C143" s="1223"/>
      <c r="D143" s="1223"/>
      <c r="E143" s="1222"/>
      <c r="F143" s="1222"/>
      <c r="G143" s="1270"/>
      <c r="H143" s="1270"/>
      <c r="I143" s="1270"/>
      <c r="J143" s="1270"/>
      <c r="K143" s="1222"/>
      <c r="L143" s="1270"/>
      <c r="M143" s="1226"/>
      <c r="N143" s="1222"/>
      <c r="O143" s="1222"/>
      <c r="P143" s="1270"/>
      <c r="Q143" s="1270"/>
      <c r="R143" s="1270"/>
      <c r="S143" s="1270"/>
      <c r="T143" s="1336"/>
      <c r="U143" s="1314" t="s">
        <v>1643</v>
      </c>
      <c r="V143" s="1226"/>
      <c r="W143" s="1222"/>
      <c r="X143" s="1222"/>
      <c r="Y143" s="1222"/>
      <c r="Z143" s="1222"/>
      <c r="AA143" s="1222"/>
      <c r="AB143" s="1226"/>
      <c r="AC143" s="1222"/>
      <c r="AD143" s="1222"/>
      <c r="AE143" s="1222"/>
      <c r="AF143" s="1222"/>
      <c r="AG143" s="1222"/>
      <c r="AH143" s="1226"/>
      <c r="AI143" s="1222"/>
      <c r="AJ143" s="1222"/>
      <c r="AK143" s="1222"/>
      <c r="AL143" s="1222"/>
      <c r="AM143" s="1222"/>
      <c r="AN143" s="1222"/>
      <c r="AO143" s="1264">
        <v>101</v>
      </c>
      <c r="AP143" s="1283">
        <v>53.94</v>
      </c>
      <c r="AQ143" s="1221">
        <v>160</v>
      </c>
      <c r="AR143" s="1221">
        <f t="shared" si="22"/>
        <v>1.5375000000000001</v>
      </c>
      <c r="AS143" s="1221" t="s">
        <v>1569</v>
      </c>
      <c r="AT143" s="1221">
        <f>STDEV(AR142:AR147)</f>
        <v>0.33712969913944607</v>
      </c>
      <c r="BJ143" s="95"/>
      <c r="BK143" s="153"/>
      <c r="BL143" s="153"/>
      <c r="BM143" s="153"/>
      <c r="BN143" s="153"/>
      <c r="BO143" s="153"/>
      <c r="BP143" s="153"/>
      <c r="BQ143" s="153"/>
      <c r="BR143" s="153"/>
      <c r="BS143" s="153"/>
      <c r="BT143" s="153"/>
      <c r="BU143" s="95"/>
      <c r="BV143" s="95"/>
      <c r="BW143" s="95"/>
      <c r="BX143" s="95"/>
      <c r="BY143" s="95"/>
      <c r="BZ143" s="95"/>
    </row>
    <row r="144" spans="1:78" s="1221" customFormat="1">
      <c r="A144" s="2469"/>
      <c r="B144" s="1226"/>
      <c r="C144" s="1223"/>
      <c r="D144" s="1223"/>
      <c r="E144" s="1222"/>
      <c r="F144" s="1222"/>
      <c r="G144" s="1270"/>
      <c r="H144" s="1270"/>
      <c r="I144" s="1270"/>
      <c r="J144" s="1270"/>
      <c r="K144" s="1222"/>
      <c r="L144" s="1270"/>
      <c r="M144" s="1226"/>
      <c r="N144" s="1222"/>
      <c r="O144" s="1222"/>
      <c r="P144" s="1270"/>
      <c r="Q144" s="1270"/>
      <c r="R144" s="1270"/>
      <c r="S144" s="1270"/>
      <c r="T144" s="1336"/>
      <c r="U144" s="1314" t="s">
        <v>1644</v>
      </c>
      <c r="V144" s="1226"/>
      <c r="W144" s="1222"/>
      <c r="X144" s="1222"/>
      <c r="Y144" s="1222"/>
      <c r="Z144" s="1222"/>
      <c r="AA144" s="1222"/>
      <c r="AB144" s="1226"/>
      <c r="AC144" s="1222"/>
      <c r="AD144" s="1222"/>
      <c r="AE144" s="1222"/>
      <c r="AF144" s="1222"/>
      <c r="AG144" s="1222"/>
      <c r="AH144" s="1226"/>
      <c r="AI144" s="1222"/>
      <c r="AJ144" s="1222"/>
      <c r="AK144" s="1222"/>
      <c r="AL144" s="1222"/>
      <c r="AM144" s="1222"/>
      <c r="AN144" s="1222"/>
      <c r="AO144" s="1264">
        <v>104</v>
      </c>
      <c r="AP144" s="1283">
        <v>53.94</v>
      </c>
      <c r="AQ144" s="1221">
        <v>180</v>
      </c>
      <c r="AR144" s="1221">
        <f t="shared" si="22"/>
        <v>1.3888888888888888</v>
      </c>
      <c r="BJ144" s="95"/>
      <c r="BK144" s="153"/>
      <c r="BL144" s="153"/>
      <c r="BM144" s="153"/>
      <c r="BN144" s="153"/>
      <c r="BO144" s="153"/>
      <c r="BP144" s="153"/>
      <c r="BQ144" s="153"/>
      <c r="BR144" s="153"/>
      <c r="BS144" s="153"/>
      <c r="BT144" s="153"/>
      <c r="BU144" s="95"/>
      <c r="BV144" s="95"/>
      <c r="BW144" s="95"/>
      <c r="BX144" s="95"/>
      <c r="BY144" s="95"/>
      <c r="BZ144" s="95"/>
    </row>
    <row r="145" spans="1:78" s="1221" customFormat="1">
      <c r="A145" s="2469"/>
      <c r="B145" s="1226"/>
      <c r="C145" s="1223"/>
      <c r="D145" s="1223"/>
      <c r="E145" s="1222"/>
      <c r="F145" s="1222"/>
      <c r="G145" s="1270"/>
      <c r="H145" s="1270"/>
      <c r="I145" s="1270"/>
      <c r="J145" s="1270"/>
      <c r="K145" s="1222"/>
      <c r="L145" s="1270"/>
      <c r="M145" s="1226"/>
      <c r="N145" s="1222"/>
      <c r="O145" s="1222"/>
      <c r="P145" s="1270"/>
      <c r="Q145" s="1270"/>
      <c r="R145" s="1270"/>
      <c r="S145" s="1270"/>
      <c r="T145" s="1336"/>
      <c r="U145" s="1314" t="s">
        <v>1645</v>
      </c>
      <c r="V145" s="1226"/>
      <c r="W145" s="1222"/>
      <c r="X145" s="1222"/>
      <c r="Y145" s="1222"/>
      <c r="Z145" s="1222"/>
      <c r="AA145" s="1222"/>
      <c r="AB145" s="1226"/>
      <c r="AC145" s="1222"/>
      <c r="AD145" s="1222"/>
      <c r="AE145" s="1222"/>
      <c r="AF145" s="1222"/>
      <c r="AG145" s="1222"/>
      <c r="AH145" s="1226"/>
      <c r="AI145" s="1222"/>
      <c r="AJ145" s="1222"/>
      <c r="AK145" s="1222"/>
      <c r="AL145" s="1222"/>
      <c r="AM145" s="1222"/>
      <c r="AN145" s="1222"/>
      <c r="AO145" s="1264">
        <v>108</v>
      </c>
      <c r="AP145" s="1283">
        <v>53.94</v>
      </c>
      <c r="AQ145" s="1221">
        <v>210</v>
      </c>
      <c r="AR145" s="1221">
        <f t="shared" si="22"/>
        <v>1.2285714285714286</v>
      </c>
      <c r="BJ145" s="95"/>
      <c r="BK145" s="153"/>
      <c r="BL145" s="153"/>
      <c r="BM145" s="153"/>
      <c r="BN145" s="153"/>
      <c r="BO145" s="153"/>
      <c r="BP145" s="153"/>
      <c r="BQ145" s="153"/>
      <c r="BR145" s="153"/>
      <c r="BS145" s="153"/>
      <c r="BT145" s="153"/>
      <c r="BU145" s="95"/>
      <c r="BV145" s="95"/>
      <c r="BW145" s="95"/>
      <c r="BX145" s="95"/>
      <c r="BY145" s="95"/>
      <c r="BZ145" s="95"/>
    </row>
    <row r="146" spans="1:78" s="1221" customFormat="1">
      <c r="A146" s="2469"/>
      <c r="B146" s="1226"/>
      <c r="C146" s="1223"/>
      <c r="D146" s="1223"/>
      <c r="E146" s="1222"/>
      <c r="F146" s="1222"/>
      <c r="G146" s="1270"/>
      <c r="H146" s="1270"/>
      <c r="I146" s="1270"/>
      <c r="J146" s="1270"/>
      <c r="K146" s="1222"/>
      <c r="L146" s="1270"/>
      <c r="M146" s="1226"/>
      <c r="N146" s="1222"/>
      <c r="O146" s="1222"/>
      <c r="P146" s="1270"/>
      <c r="Q146" s="1270"/>
      <c r="R146" s="1270"/>
      <c r="S146" s="1270"/>
      <c r="T146" s="1336"/>
      <c r="U146" s="1314" t="s">
        <v>1646</v>
      </c>
      <c r="V146" s="1226"/>
      <c r="W146" s="1222"/>
      <c r="X146" s="1222"/>
      <c r="Y146" s="1222"/>
      <c r="Z146" s="1222"/>
      <c r="AA146" s="1222"/>
      <c r="AB146" s="1226"/>
      <c r="AC146" s="1222"/>
      <c r="AD146" s="1222"/>
      <c r="AE146" s="1222"/>
      <c r="AF146" s="1222"/>
      <c r="AG146" s="1222"/>
      <c r="AH146" s="1226"/>
      <c r="AI146" s="1222"/>
      <c r="AJ146" s="1222"/>
      <c r="AK146" s="1222"/>
      <c r="AL146" s="1222"/>
      <c r="AM146" s="1222"/>
      <c r="AN146" s="1222"/>
      <c r="AO146" s="1264">
        <v>109</v>
      </c>
      <c r="AP146" s="1283">
        <v>53.94</v>
      </c>
      <c r="AQ146" s="1221">
        <v>270</v>
      </c>
      <c r="AR146" s="1221">
        <f t="shared" si="22"/>
        <v>0.98518518518518516</v>
      </c>
      <c r="BJ146" s="95"/>
      <c r="BK146" s="153"/>
      <c r="BL146" s="153"/>
      <c r="BM146" s="153"/>
      <c r="BN146" s="153"/>
      <c r="BO146" s="153"/>
      <c r="BP146" s="153"/>
      <c r="BQ146" s="153"/>
      <c r="BR146" s="153"/>
      <c r="BS146" s="153"/>
      <c r="BT146" s="153"/>
      <c r="BU146" s="95"/>
      <c r="BV146" s="95"/>
      <c r="BW146" s="95"/>
      <c r="BX146" s="95"/>
      <c r="BY146" s="95"/>
      <c r="BZ146" s="95"/>
    </row>
    <row r="147" spans="1:78" s="1221" customFormat="1" ht="15" thickBot="1">
      <c r="A147" s="2470"/>
      <c r="B147" s="1226"/>
      <c r="C147" s="1223"/>
      <c r="D147" s="1223"/>
      <c r="E147" s="1222"/>
      <c r="F147" s="1222"/>
      <c r="G147" s="1270"/>
      <c r="H147" s="1270"/>
      <c r="I147" s="1270"/>
      <c r="J147" s="1270"/>
      <c r="K147" s="1222"/>
      <c r="L147" s="1270"/>
      <c r="M147" s="1226"/>
      <c r="N147" s="1222"/>
      <c r="O147" s="1222"/>
      <c r="P147" s="1270"/>
      <c r="Q147" s="1270"/>
      <c r="R147" s="1270"/>
      <c r="S147" s="1270"/>
      <c r="T147" s="1336"/>
      <c r="U147" s="1314" t="s">
        <v>1647</v>
      </c>
      <c r="V147" s="1226"/>
      <c r="W147" s="1222"/>
      <c r="X147" s="1222"/>
      <c r="Y147" s="1222"/>
      <c r="Z147" s="1222"/>
      <c r="AA147" s="1222"/>
      <c r="AB147" s="1226"/>
      <c r="AC147" s="1222"/>
      <c r="AD147" s="1222"/>
      <c r="AE147" s="1222"/>
      <c r="AF147" s="1222"/>
      <c r="AG147" s="1222"/>
      <c r="AH147" s="1226"/>
      <c r="AI147" s="1222"/>
      <c r="AJ147" s="1222"/>
      <c r="AK147" s="1222"/>
      <c r="AL147" s="1222"/>
      <c r="AM147" s="1222"/>
      <c r="AN147" s="1222"/>
      <c r="AO147" s="1264">
        <v>113</v>
      </c>
      <c r="AP147" s="1283">
        <v>53.94</v>
      </c>
      <c r="AQ147" s="1221">
        <v>320</v>
      </c>
      <c r="AR147" s="1221">
        <f t="shared" si="22"/>
        <v>0.859375</v>
      </c>
      <c r="BJ147" s="95"/>
      <c r="BK147" s="153"/>
      <c r="BL147" s="153"/>
      <c r="BM147" s="153"/>
      <c r="BN147" s="153"/>
      <c r="BO147" s="153"/>
      <c r="BP147" s="153"/>
      <c r="BQ147" s="153"/>
      <c r="BR147" s="153"/>
      <c r="BS147" s="153"/>
      <c r="BT147" s="153"/>
      <c r="BU147" s="95"/>
      <c r="BV147" s="95"/>
      <c r="BW147" s="95"/>
      <c r="BX147" s="95"/>
      <c r="BY147" s="95"/>
      <c r="BZ147" s="95"/>
    </row>
    <row r="148" spans="1:78" s="1221" customFormat="1" ht="18.600000000000001" thickBot="1">
      <c r="A148" s="1272"/>
      <c r="B148" s="1242"/>
      <c r="C148" s="1243"/>
      <c r="D148" s="1243"/>
      <c r="E148" s="1242"/>
      <c r="F148" s="1242"/>
      <c r="G148" s="1244"/>
      <c r="H148" s="1244"/>
      <c r="I148" s="1244"/>
      <c r="J148" s="1244"/>
      <c r="K148" s="1242"/>
      <c r="L148" s="1244"/>
      <c r="M148" s="1245"/>
      <c r="N148" s="1242"/>
      <c r="O148" s="1242"/>
      <c r="P148" s="1244"/>
      <c r="Q148" s="1244"/>
      <c r="R148" s="1244"/>
      <c r="S148" s="1244"/>
      <c r="T148" s="1244"/>
      <c r="U148" s="1245"/>
      <c r="V148" s="1245"/>
      <c r="W148" s="1242"/>
      <c r="X148" s="1242"/>
      <c r="Y148" s="1242"/>
      <c r="Z148" s="1242"/>
      <c r="AA148" s="1242"/>
      <c r="AB148" s="1245"/>
      <c r="AC148" s="1242"/>
      <c r="AD148" s="1242"/>
      <c r="AE148" s="1242"/>
      <c r="AF148" s="1242"/>
      <c r="AG148" s="1242"/>
      <c r="AH148" s="1245"/>
      <c r="AI148" s="1242"/>
      <c r="AJ148" s="1242"/>
      <c r="AK148" s="1242"/>
      <c r="AL148" s="1242"/>
      <c r="AM148" s="1242"/>
      <c r="AN148" s="1242"/>
      <c r="AO148" s="1245"/>
      <c r="AP148" s="1246"/>
      <c r="AQ148" s="1221">
        <v>10</v>
      </c>
      <c r="AR148" s="1221">
        <f t="shared" si="22"/>
        <v>9.4117999999999995</v>
      </c>
      <c r="AS148" s="1221" t="s">
        <v>1568</v>
      </c>
      <c r="AT148" s="1221">
        <f>AVERAGE(AR148:AR156)</f>
        <v>4.208585643738977</v>
      </c>
      <c r="BJ148" s="95"/>
      <c r="BK148" s="153"/>
      <c r="BL148" s="153"/>
      <c r="BM148" s="153"/>
      <c r="BN148" s="153"/>
      <c r="BO148" s="153"/>
      <c r="BP148" s="153"/>
      <c r="BQ148" s="153"/>
      <c r="BR148" s="153"/>
      <c r="BS148" s="153"/>
      <c r="BT148" s="153"/>
      <c r="BU148" s="95"/>
      <c r="BV148" s="95"/>
      <c r="BW148" s="95"/>
      <c r="BX148" s="95"/>
      <c r="BY148" s="95"/>
      <c r="BZ148" s="95"/>
    </row>
    <row r="149" spans="1:78" s="1221" customFormat="1">
      <c r="A149" s="2468" t="s">
        <v>1229</v>
      </c>
      <c r="B149" s="1261" t="s">
        <v>1616</v>
      </c>
      <c r="C149" s="1255" t="s">
        <v>1505</v>
      </c>
      <c r="D149" s="1314" t="s">
        <v>1495</v>
      </c>
      <c r="E149" s="1274">
        <f>AVERAGE(V149,AB149)/100</f>
        <v>1.145</v>
      </c>
      <c r="F149" s="1356"/>
      <c r="G149" s="2483">
        <f>AVERAGE(W149:W157,AC149:AC157)*BS7</f>
        <v>71.49199492561317</v>
      </c>
      <c r="H149" s="1378">
        <f t="shared" ref="H149:H157" si="23">E149*$G$149</f>
        <v>81.858334189827076</v>
      </c>
      <c r="I149" s="1258">
        <f t="shared" ref="I149:I155" si="24">(SUM(Y149,AE149,AA149,AG149)/2)/100</f>
        <v>203.90310000000002</v>
      </c>
      <c r="J149" s="1379">
        <f>AVERAGE(Z149,AF149)</f>
        <v>1400</v>
      </c>
      <c r="K149" s="2488">
        <v>0.25</v>
      </c>
      <c r="L149" s="1322">
        <f t="shared" ref="L149:L157" si="25">(($G$149*E149)+I149)*(1+$K$149)</f>
        <v>357.20179273728388</v>
      </c>
      <c r="M149" s="1282" t="s">
        <v>1648</v>
      </c>
      <c r="N149" s="1257" t="s">
        <v>1649</v>
      </c>
      <c r="O149" s="1370">
        <f>AT167</f>
        <v>1.5221258503401363</v>
      </c>
      <c r="P149" s="1260">
        <f>AP158*BQ22</f>
        <v>62.46494892885444</v>
      </c>
      <c r="Q149" s="1301">
        <f t="shared" ref="Q149:Q151" si="26">O149*P149</f>
        <v>95.079513504785751</v>
      </c>
      <c r="R149" s="1259"/>
      <c r="S149" s="1259"/>
      <c r="T149" s="1276">
        <f>Q149</f>
        <v>95.079513504785751</v>
      </c>
      <c r="U149" s="1255" t="s">
        <v>1619</v>
      </c>
      <c r="V149" s="1282">
        <v>106</v>
      </c>
      <c r="W149" s="1365">
        <v>109.09</v>
      </c>
      <c r="X149" s="1365">
        <v>11564</v>
      </c>
      <c r="Y149" s="1365">
        <v>8700</v>
      </c>
      <c r="Z149" s="1365">
        <v>2000</v>
      </c>
      <c r="AA149" s="1366">
        <v>20339</v>
      </c>
      <c r="AB149" s="1282">
        <v>123</v>
      </c>
      <c r="AC149" s="1365">
        <v>98</v>
      </c>
      <c r="AD149" s="1365">
        <v>12036</v>
      </c>
      <c r="AE149" s="1365">
        <v>9441.6200000000008</v>
      </c>
      <c r="AF149" s="1365">
        <v>800</v>
      </c>
      <c r="AG149" s="1366">
        <v>2300</v>
      </c>
      <c r="AH149" s="1226"/>
      <c r="AI149" s="1222"/>
      <c r="AJ149" s="1222"/>
      <c r="AK149" s="1222"/>
      <c r="AL149" s="1222"/>
      <c r="AM149" s="1222"/>
      <c r="AN149" s="1222"/>
      <c r="AO149" s="1226"/>
      <c r="AP149" s="1253"/>
      <c r="AQ149" s="1221">
        <v>15</v>
      </c>
      <c r="AR149" s="1221">
        <f t="shared" si="22"/>
        <v>6.2745333333333333</v>
      </c>
      <c r="AS149" s="1221" t="s">
        <v>1569</v>
      </c>
      <c r="AT149" s="1221">
        <f>STDEV(AR148:AR156)</f>
        <v>2.3261882417033752</v>
      </c>
      <c r="BJ149" s="95"/>
      <c r="BK149" s="153"/>
      <c r="BL149" s="153"/>
      <c r="BM149" s="153"/>
      <c r="BN149" s="153"/>
      <c r="BO149" s="153"/>
      <c r="BP149" s="153"/>
      <c r="BQ149" s="153"/>
      <c r="BR149" s="153"/>
      <c r="BS149" s="153"/>
      <c r="BT149" s="153"/>
      <c r="BU149" s="95"/>
      <c r="BV149" s="95"/>
      <c r="BW149" s="95"/>
      <c r="BX149" s="95"/>
      <c r="BY149" s="95"/>
      <c r="BZ149" s="95"/>
    </row>
    <row r="150" spans="1:78" s="1221" customFormat="1">
      <c r="A150" s="2469"/>
      <c r="B150" s="1261" t="s">
        <v>1620</v>
      </c>
      <c r="C150" s="1255" t="s">
        <v>1505</v>
      </c>
      <c r="D150" s="1314" t="s">
        <v>1495</v>
      </c>
      <c r="E150" s="1274">
        <f>AVERAGE(V150,AB150)/200</f>
        <v>0.78749999999999998</v>
      </c>
      <c r="F150" s="1356"/>
      <c r="G150" s="2483"/>
      <c r="H150" s="1378">
        <f t="shared" si="23"/>
        <v>56.299946003920368</v>
      </c>
      <c r="I150" s="1258">
        <f>(SUM(Y150,AE150,AA150,AG150)/2)/200</f>
        <v>179.94897499999999</v>
      </c>
      <c r="J150" s="1379">
        <f t="shared" ref="J150:J157" si="27">AVERAGE(Z150,AF150)</f>
        <v>2150</v>
      </c>
      <c r="K150" s="2488"/>
      <c r="L150" s="1322">
        <f t="shared" si="25"/>
        <v>295.31115125490044</v>
      </c>
      <c r="M150" s="1282" t="s">
        <v>1650</v>
      </c>
      <c r="N150" s="1257" t="s">
        <v>1651</v>
      </c>
      <c r="O150" s="1370">
        <f>AT174</f>
        <v>6.4316072916666673</v>
      </c>
      <c r="P150" s="1260">
        <f>AVERAGE(AP165:AP172)*BQ22</f>
        <v>60.441265238584265</v>
      </c>
      <c r="Q150" s="1301">
        <f t="shared" si="26"/>
        <v>388.73448222603764</v>
      </c>
      <c r="R150" s="1259"/>
      <c r="S150" s="1259"/>
      <c r="T150" s="1276">
        <f>Q150</f>
        <v>388.73448222603764</v>
      </c>
      <c r="U150" s="1255" t="s">
        <v>1623</v>
      </c>
      <c r="V150" s="1282">
        <v>156</v>
      </c>
      <c r="W150" s="1365">
        <v>109</v>
      </c>
      <c r="X150" s="1365">
        <v>16940</v>
      </c>
      <c r="Y150" s="1365">
        <v>15261</v>
      </c>
      <c r="Z150" s="1365">
        <v>3500</v>
      </c>
      <c r="AA150" s="1366">
        <v>38418</v>
      </c>
      <c r="AB150" s="1282">
        <v>159</v>
      </c>
      <c r="AC150" s="1365">
        <v>98</v>
      </c>
      <c r="AD150" s="1365">
        <v>15546</v>
      </c>
      <c r="AE150" s="1365">
        <v>14700.59</v>
      </c>
      <c r="AF150" s="1365">
        <v>800</v>
      </c>
      <c r="AG150" s="1366">
        <v>3600</v>
      </c>
      <c r="AH150" s="1226"/>
      <c r="AI150" s="1222"/>
      <c r="AJ150" s="1222"/>
      <c r="AK150" s="1222"/>
      <c r="AL150" s="1222"/>
      <c r="AM150" s="1222"/>
      <c r="AN150" s="1222"/>
      <c r="AO150" s="1226"/>
      <c r="AP150" s="1253"/>
      <c r="AQ150" s="1221">
        <v>20</v>
      </c>
      <c r="AR150" s="1221">
        <f t="shared" si="22"/>
        <v>4.7058999999999997</v>
      </c>
      <c r="BJ150" s="95"/>
      <c r="BK150" s="153"/>
      <c r="BL150" s="153"/>
      <c r="BM150" s="153"/>
      <c r="BN150" s="153"/>
      <c r="BO150" s="153"/>
      <c r="BP150" s="153"/>
      <c r="BQ150" s="153"/>
      <c r="BR150" s="153"/>
      <c r="BS150" s="153"/>
      <c r="BT150" s="153"/>
      <c r="BU150" s="95"/>
      <c r="BV150" s="95"/>
      <c r="BW150" s="95"/>
      <c r="BX150" s="95"/>
      <c r="BY150" s="95"/>
      <c r="BZ150" s="95"/>
    </row>
    <row r="151" spans="1:78" s="1221" customFormat="1">
      <c r="A151" s="2469"/>
      <c r="B151" s="1261" t="s">
        <v>1624</v>
      </c>
      <c r="C151" s="1255" t="s">
        <v>1505</v>
      </c>
      <c r="D151" s="1314" t="s">
        <v>1495</v>
      </c>
      <c r="E151" s="1274">
        <f>AVERAGE(V151,AB151)/300</f>
        <v>0.60499999999999998</v>
      </c>
      <c r="F151" s="1356"/>
      <c r="G151" s="2483"/>
      <c r="H151" s="1378">
        <f t="shared" si="23"/>
        <v>43.252656929995965</v>
      </c>
      <c r="I151" s="1258">
        <f>(SUM(Y151,AE151,AA151,AG151)/2)/300</f>
        <v>155.01626666666667</v>
      </c>
      <c r="J151" s="1379">
        <f t="shared" si="27"/>
        <v>2750</v>
      </c>
      <c r="K151" s="2488"/>
      <c r="L151" s="1322">
        <f t="shared" si="25"/>
        <v>247.83615449582828</v>
      </c>
      <c r="M151" s="1282" t="s">
        <v>1652</v>
      </c>
      <c r="N151" s="1257" t="s">
        <v>1653</v>
      </c>
      <c r="O151" s="1370">
        <f>AT182</f>
        <v>0.36342865079365083</v>
      </c>
      <c r="P151" s="1260">
        <f>AP173*BQ22</f>
        <v>62.46494892885444</v>
      </c>
      <c r="Q151" s="1301">
        <f t="shared" si="26"/>
        <v>22.701552111107873</v>
      </c>
      <c r="R151" s="1259"/>
      <c r="S151" s="1259"/>
      <c r="T151" s="1276">
        <f>Q151</f>
        <v>22.701552111107873</v>
      </c>
      <c r="U151" s="1255" t="s">
        <v>1626</v>
      </c>
      <c r="V151" s="1282">
        <v>174</v>
      </c>
      <c r="W151" s="1365">
        <v>108</v>
      </c>
      <c r="X151" s="1365">
        <v>18872</v>
      </c>
      <c r="Y151" s="1365">
        <v>15461</v>
      </c>
      <c r="Z151" s="1365">
        <v>4000</v>
      </c>
      <c r="AA151" s="1366">
        <v>51141</v>
      </c>
      <c r="AB151" s="1282">
        <v>189</v>
      </c>
      <c r="AC151" s="1365">
        <v>98</v>
      </c>
      <c r="AD151" s="1365">
        <v>18439</v>
      </c>
      <c r="AE151" s="1365">
        <v>21807.759999999998</v>
      </c>
      <c r="AF151" s="1365">
        <v>1500</v>
      </c>
      <c r="AG151" s="1366">
        <v>4600</v>
      </c>
      <c r="AH151" s="1226"/>
      <c r="AI151" s="1222"/>
      <c r="AJ151" s="1222"/>
      <c r="AK151" s="1222"/>
      <c r="AL151" s="1222"/>
      <c r="AM151" s="1222"/>
      <c r="AN151" s="1222"/>
      <c r="AO151" s="1226"/>
      <c r="AP151" s="1253"/>
      <c r="AQ151" s="1221">
        <v>25</v>
      </c>
      <c r="AR151" s="1221">
        <f t="shared" si="22"/>
        <v>3.7647199999999996</v>
      </c>
      <c r="BJ151" s="95"/>
      <c r="BK151" s="153"/>
      <c r="BL151" s="153"/>
      <c r="BM151" s="153"/>
      <c r="BN151" s="153"/>
      <c r="BO151" s="153"/>
      <c r="BP151" s="153"/>
      <c r="BQ151" s="153"/>
      <c r="BR151" s="153"/>
      <c r="BS151" s="153"/>
      <c r="BT151" s="153"/>
      <c r="BU151" s="95"/>
      <c r="BV151" s="95"/>
      <c r="BW151" s="95"/>
      <c r="BX151" s="95"/>
      <c r="BY151" s="95"/>
      <c r="BZ151" s="95"/>
    </row>
    <row r="152" spans="1:78" s="1221" customFormat="1">
      <c r="A152" s="2469"/>
      <c r="B152" s="1261" t="s">
        <v>1654</v>
      </c>
      <c r="C152" s="1255" t="s">
        <v>1505</v>
      </c>
      <c r="D152" s="1314" t="s">
        <v>1495</v>
      </c>
      <c r="E152" s="1274">
        <f>AVERAGE(V152,AB152)/100</f>
        <v>1.585</v>
      </c>
      <c r="F152" s="1356"/>
      <c r="G152" s="2483"/>
      <c r="H152" s="1378">
        <f t="shared" si="23"/>
        <v>113.31481195709688</v>
      </c>
      <c r="I152" s="1258">
        <f t="shared" si="24"/>
        <v>215.63955000000001</v>
      </c>
      <c r="J152" s="1379">
        <f t="shared" si="27"/>
        <v>5000</v>
      </c>
      <c r="K152" s="2488"/>
      <c r="L152" s="1322">
        <f t="shared" si="25"/>
        <v>411.19295244637112</v>
      </c>
      <c r="M152" s="1264" t="s">
        <v>1625</v>
      </c>
      <c r="N152" s="1309"/>
      <c r="O152" s="1381" t="s">
        <v>1655</v>
      </c>
      <c r="P152" s="1260">
        <v>67.88</v>
      </c>
      <c r="Q152" s="1382" t="s">
        <v>1656</v>
      </c>
      <c r="R152" s="1259"/>
      <c r="S152" s="1259"/>
      <c r="T152" s="1383" t="str">
        <f>Q152</f>
        <v>$71.95 - $201.60</v>
      </c>
      <c r="U152" s="1255" t="s">
        <v>1657</v>
      </c>
      <c r="V152" s="1282">
        <v>134</v>
      </c>
      <c r="W152" s="1365">
        <v>108</v>
      </c>
      <c r="X152" s="1365">
        <v>14476</v>
      </c>
      <c r="Y152" s="1365">
        <v>8350</v>
      </c>
      <c r="Z152" s="1365">
        <v>6500</v>
      </c>
      <c r="AA152" s="1366">
        <v>22444</v>
      </c>
      <c r="AB152" s="1282">
        <v>183</v>
      </c>
      <c r="AC152" s="1365">
        <v>101</v>
      </c>
      <c r="AD152" s="1365">
        <v>18531</v>
      </c>
      <c r="AE152" s="1365">
        <v>9833.91</v>
      </c>
      <c r="AF152" s="1365">
        <v>3500</v>
      </c>
      <c r="AG152" s="1366">
        <v>2500</v>
      </c>
      <c r="AH152" s="1226"/>
      <c r="AI152" s="1222"/>
      <c r="AJ152" s="1222"/>
      <c r="AK152" s="1222"/>
      <c r="AL152" s="1222"/>
      <c r="AM152" s="1222"/>
      <c r="AN152" s="1222"/>
      <c r="AO152" s="1226"/>
      <c r="AP152" s="1253"/>
      <c r="AQ152" s="1221">
        <v>30</v>
      </c>
      <c r="AR152" s="1221">
        <f t="shared" si="22"/>
        <v>3.3666666666666667</v>
      </c>
      <c r="BJ152" s="95"/>
      <c r="BK152" s="153"/>
      <c r="BL152" s="153"/>
      <c r="BM152" s="153"/>
      <c r="BN152" s="153"/>
      <c r="BO152" s="153"/>
      <c r="BP152" s="153"/>
      <c r="BQ152" s="153"/>
      <c r="BR152" s="153"/>
      <c r="BS152" s="153"/>
      <c r="BT152" s="153"/>
      <c r="BU152" s="95"/>
      <c r="BV152" s="95"/>
      <c r="BW152" s="95"/>
      <c r="BX152" s="95"/>
      <c r="BY152" s="95"/>
      <c r="BZ152" s="95"/>
    </row>
    <row r="153" spans="1:78" s="1221" customFormat="1">
      <c r="A153" s="2469"/>
      <c r="B153" s="1261" t="s">
        <v>1658</v>
      </c>
      <c r="C153" s="1255" t="s">
        <v>1505</v>
      </c>
      <c r="D153" s="1314" t="s">
        <v>1495</v>
      </c>
      <c r="E153" s="1274">
        <f>AVERAGE(V153,AB153)/200</f>
        <v>1.0575000000000001</v>
      </c>
      <c r="F153" s="1356"/>
      <c r="G153" s="2483"/>
      <c r="H153" s="1378">
        <f t="shared" si="23"/>
        <v>75.602784633835938</v>
      </c>
      <c r="I153" s="1258">
        <f>(SUM(Y153,AE153,AA153,AG153)/2)/200</f>
        <v>185.50247499999998</v>
      </c>
      <c r="J153" s="1379">
        <f>AVERAGE(Z153,AF153)</f>
        <v>5500</v>
      </c>
      <c r="K153" s="2488"/>
      <c r="L153" s="1322">
        <f t="shared" si="25"/>
        <v>326.38157454229486</v>
      </c>
      <c r="M153" s="1264" t="s">
        <v>1659</v>
      </c>
      <c r="N153" s="1309"/>
      <c r="O153" s="1381" t="s">
        <v>1660</v>
      </c>
      <c r="P153" s="1260">
        <v>67.88</v>
      </c>
      <c r="Q153" s="1382" t="s">
        <v>1661</v>
      </c>
      <c r="R153" s="1259"/>
      <c r="S153" s="1259"/>
      <c r="T153" s="1383" t="str">
        <f>Q153</f>
        <v>$83.49 - 95.71</v>
      </c>
      <c r="U153" s="1255" t="s">
        <v>1662</v>
      </c>
      <c r="V153" s="1282">
        <v>182</v>
      </c>
      <c r="W153" s="1365">
        <v>108</v>
      </c>
      <c r="X153" s="1365">
        <v>19712</v>
      </c>
      <c r="Y153" s="1365">
        <v>15061</v>
      </c>
      <c r="Z153" s="1365">
        <v>6500</v>
      </c>
      <c r="AA153" s="1366">
        <v>40081</v>
      </c>
      <c r="AB153" s="1282">
        <v>241</v>
      </c>
      <c r="AC153" s="1365">
        <v>98</v>
      </c>
      <c r="AD153" s="1365">
        <v>23511</v>
      </c>
      <c r="AE153" s="1365">
        <v>15058.99</v>
      </c>
      <c r="AF153" s="1365">
        <v>4500</v>
      </c>
      <c r="AG153" s="1366">
        <v>4000</v>
      </c>
      <c r="AH153" s="1226"/>
      <c r="AI153" s="1222"/>
      <c r="AJ153" s="1222"/>
      <c r="AK153" s="1222"/>
      <c r="AL153" s="1222"/>
      <c r="AM153" s="1222"/>
      <c r="AN153" s="1222"/>
      <c r="AO153" s="1226"/>
      <c r="AP153" s="1253"/>
      <c r="AQ153" s="1221">
        <v>35</v>
      </c>
      <c r="AR153" s="1221">
        <f t="shared" si="22"/>
        <v>2.9714285714285715</v>
      </c>
      <c r="BJ153" s="95"/>
      <c r="BK153" s="153"/>
      <c r="BL153" s="153"/>
      <c r="BM153" s="153"/>
      <c r="BN153" s="153"/>
      <c r="BO153" s="153"/>
      <c r="BP153" s="153"/>
      <c r="BQ153" s="153"/>
      <c r="BR153" s="153"/>
      <c r="BS153" s="153"/>
      <c r="BT153" s="153"/>
      <c r="BU153" s="95"/>
      <c r="BV153" s="95"/>
      <c r="BW153" s="95"/>
      <c r="BX153" s="95"/>
      <c r="BY153" s="95"/>
      <c r="BZ153" s="95"/>
    </row>
    <row r="154" spans="1:78" s="1221" customFormat="1">
      <c r="A154" s="2469"/>
      <c r="B154" s="1261" t="s">
        <v>1663</v>
      </c>
      <c r="C154" s="1255" t="s">
        <v>1505</v>
      </c>
      <c r="D154" s="1314" t="s">
        <v>1495</v>
      </c>
      <c r="E154" s="1274">
        <f>AVERAGE(V154,AB154)/300</f>
        <v>0.74</v>
      </c>
      <c r="F154" s="1356"/>
      <c r="G154" s="2483"/>
      <c r="H154" s="1378">
        <f t="shared" si="23"/>
        <v>52.904076244953743</v>
      </c>
      <c r="I154" s="1258">
        <f>(SUM(Y154,AE154,AA154,AG154)/2)/300</f>
        <v>159.11658333333332</v>
      </c>
      <c r="J154" s="1379">
        <f t="shared" si="27"/>
        <v>6250</v>
      </c>
      <c r="K154" s="2488"/>
      <c r="L154" s="1322">
        <f t="shared" si="25"/>
        <v>265.0258244728588</v>
      </c>
      <c r="M154" s="1226"/>
      <c r="N154" s="1222"/>
      <c r="O154" s="1222"/>
      <c r="P154" s="1270"/>
      <c r="Q154" s="1270"/>
      <c r="R154" s="1270"/>
      <c r="S154" s="1270"/>
      <c r="T154" s="1336"/>
      <c r="U154" s="1255" t="s">
        <v>1664</v>
      </c>
      <c r="V154" s="1282">
        <v>212</v>
      </c>
      <c r="W154" s="1365">
        <v>108</v>
      </c>
      <c r="X154" s="1365">
        <v>22960</v>
      </c>
      <c r="Y154" s="1365">
        <v>15161</v>
      </c>
      <c r="Z154" s="1365">
        <v>7500</v>
      </c>
      <c r="AA154" s="1366">
        <v>53313</v>
      </c>
      <c r="AB154" s="1282">
        <v>232</v>
      </c>
      <c r="AC154" s="1365">
        <v>98</v>
      </c>
      <c r="AD154" s="1365">
        <v>22621</v>
      </c>
      <c r="AE154" s="1365">
        <v>21995.95</v>
      </c>
      <c r="AF154" s="1365">
        <v>5000</v>
      </c>
      <c r="AG154" s="1366">
        <v>5000</v>
      </c>
      <c r="AH154" s="1226"/>
      <c r="AI154" s="1222"/>
      <c r="AJ154" s="1222"/>
      <c r="AK154" s="1222"/>
      <c r="AL154" s="1222"/>
      <c r="AM154" s="1222"/>
      <c r="AN154" s="1222"/>
      <c r="AO154" s="1226"/>
      <c r="AP154" s="1253"/>
      <c r="AQ154" s="1221">
        <v>40</v>
      </c>
      <c r="AR154" s="1221">
        <f t="shared" si="22"/>
        <v>2.7</v>
      </c>
      <c r="BJ154" s="95"/>
      <c r="BK154" s="153"/>
      <c r="BL154" s="153"/>
      <c r="BM154" s="153"/>
      <c r="BN154" s="153"/>
      <c r="BO154" s="153"/>
      <c r="BP154" s="153"/>
      <c r="BQ154" s="153"/>
      <c r="BR154" s="153"/>
      <c r="BS154" s="153"/>
      <c r="BT154" s="153"/>
      <c r="BU154" s="95"/>
      <c r="BV154" s="95"/>
      <c r="BW154" s="95"/>
      <c r="BX154" s="95"/>
      <c r="BY154" s="95"/>
      <c r="BZ154" s="95"/>
    </row>
    <row r="155" spans="1:78" s="1221" customFormat="1">
      <c r="A155" s="2469"/>
      <c r="B155" s="1261" t="s">
        <v>1627</v>
      </c>
      <c r="C155" s="1255" t="s">
        <v>1505</v>
      </c>
      <c r="D155" s="1314" t="s">
        <v>1495</v>
      </c>
      <c r="E155" s="1274">
        <f>AVERAGE(V155,AB155)/100</f>
        <v>1.33</v>
      </c>
      <c r="F155" s="1356"/>
      <c r="G155" s="2483"/>
      <c r="H155" s="1378">
        <f t="shared" si="23"/>
        <v>95.084353251065522</v>
      </c>
      <c r="I155" s="1258">
        <f t="shared" si="24"/>
        <v>214.77689999999998</v>
      </c>
      <c r="J155" s="1379">
        <f t="shared" si="27"/>
        <v>3250</v>
      </c>
      <c r="K155" s="2488"/>
      <c r="L155" s="1322">
        <f t="shared" si="25"/>
        <v>387.32656656383188</v>
      </c>
      <c r="M155" s="1226"/>
      <c r="N155" s="1222"/>
      <c r="O155" s="1222"/>
      <c r="P155" s="1270"/>
      <c r="Q155" s="1270"/>
      <c r="R155" s="1270"/>
      <c r="S155" s="1270"/>
      <c r="T155" s="1336"/>
      <c r="U155" s="1255" t="s">
        <v>1628</v>
      </c>
      <c r="V155" s="1282">
        <v>132</v>
      </c>
      <c r="W155" s="1365">
        <v>108</v>
      </c>
      <c r="X155" s="1365">
        <v>14252</v>
      </c>
      <c r="Y155" s="1365">
        <v>9300</v>
      </c>
      <c r="Z155" s="1365">
        <v>3500</v>
      </c>
      <c r="AA155" s="1366">
        <v>21766</v>
      </c>
      <c r="AB155" s="1282">
        <v>134</v>
      </c>
      <c r="AC155" s="1365">
        <v>98</v>
      </c>
      <c r="AD155" s="1365">
        <v>13097</v>
      </c>
      <c r="AE155" s="1365">
        <v>9489.3799999999992</v>
      </c>
      <c r="AF155" s="1365">
        <v>3000</v>
      </c>
      <c r="AG155" s="1366">
        <v>2400</v>
      </c>
      <c r="AH155" s="1226"/>
      <c r="AI155" s="1222"/>
      <c r="AJ155" s="1222"/>
      <c r="AK155" s="1222"/>
      <c r="AL155" s="1222"/>
      <c r="AM155" s="1222"/>
      <c r="AN155" s="1222"/>
      <c r="AO155" s="1226"/>
      <c r="AP155" s="1253"/>
      <c r="AQ155" s="1221">
        <v>45</v>
      </c>
      <c r="AR155" s="1221">
        <f t="shared" si="22"/>
        <v>2.4222222222222221</v>
      </c>
      <c r="BJ155" s="95"/>
      <c r="BK155" s="153"/>
      <c r="BL155" s="153"/>
      <c r="BM155" s="153"/>
      <c r="BN155" s="153"/>
      <c r="BO155" s="153"/>
      <c r="BP155" s="153"/>
      <c r="BQ155" s="153"/>
      <c r="BR155" s="153"/>
      <c r="BS155" s="153"/>
      <c r="BT155" s="153"/>
      <c r="BU155" s="95"/>
      <c r="BV155" s="95"/>
      <c r="BW155" s="95"/>
      <c r="BX155" s="95"/>
      <c r="BY155" s="95"/>
      <c r="BZ155" s="95"/>
    </row>
    <row r="156" spans="1:78" s="1221" customFormat="1">
      <c r="A156" s="2469"/>
      <c r="B156" s="1261" t="s">
        <v>1629</v>
      </c>
      <c r="C156" s="1255" t="s">
        <v>1505</v>
      </c>
      <c r="D156" s="1314" t="s">
        <v>1495</v>
      </c>
      <c r="E156" s="1274">
        <f>AVERAGE(V156,AB156)/200</f>
        <v>0.85499999999999998</v>
      </c>
      <c r="F156" s="1356"/>
      <c r="G156" s="2483"/>
      <c r="H156" s="1378">
        <f t="shared" si="23"/>
        <v>61.125655661399257</v>
      </c>
      <c r="I156" s="1258">
        <f>(SUM(Y156,AE156,AA156,AG156)/2)/200</f>
        <v>183.02309999999997</v>
      </c>
      <c r="J156" s="1379">
        <f t="shared" si="27"/>
        <v>4000</v>
      </c>
      <c r="K156" s="2488"/>
      <c r="L156" s="1322">
        <f t="shared" si="25"/>
        <v>305.18594457674902</v>
      </c>
      <c r="M156" s="1226"/>
      <c r="N156" s="1222"/>
      <c r="O156" s="1222"/>
      <c r="P156" s="1270"/>
      <c r="Q156" s="1270"/>
      <c r="R156" s="1270"/>
      <c r="S156" s="1270"/>
      <c r="T156" s="1336"/>
      <c r="U156" s="1255" t="s">
        <v>1630</v>
      </c>
      <c r="V156" s="1282">
        <v>172</v>
      </c>
      <c r="W156" s="1365">
        <v>108</v>
      </c>
      <c r="X156" s="1365">
        <v>18592</v>
      </c>
      <c r="Y156" s="1365">
        <v>15561</v>
      </c>
      <c r="Z156" s="1365">
        <v>4500</v>
      </c>
      <c r="AA156" s="1366">
        <v>39300</v>
      </c>
      <c r="AB156" s="1282">
        <v>170</v>
      </c>
      <c r="AC156" s="1365">
        <v>98</v>
      </c>
      <c r="AD156" s="1365">
        <v>16605</v>
      </c>
      <c r="AE156" s="1365">
        <v>14748.24</v>
      </c>
      <c r="AF156" s="1365">
        <v>3500</v>
      </c>
      <c r="AG156" s="1366">
        <v>3600</v>
      </c>
      <c r="AH156" s="1226"/>
      <c r="AI156" s="1222"/>
      <c r="AJ156" s="1222"/>
      <c r="AK156" s="1222"/>
      <c r="AL156" s="1222"/>
      <c r="AM156" s="1222"/>
      <c r="AN156" s="1222"/>
      <c r="AO156" s="1226"/>
      <c r="AP156" s="1253"/>
      <c r="AQ156" s="1221">
        <v>50</v>
      </c>
      <c r="AR156" s="1221">
        <f t="shared" si="22"/>
        <v>2.2599999999999998</v>
      </c>
      <c r="BJ156" s="95"/>
      <c r="BK156" s="153"/>
      <c r="BL156" s="153"/>
      <c r="BM156" s="153"/>
      <c r="BN156" s="153"/>
      <c r="BO156" s="153"/>
      <c r="BP156" s="153"/>
      <c r="BQ156" s="153"/>
      <c r="BR156" s="153"/>
      <c r="BS156" s="153"/>
      <c r="BT156" s="153"/>
      <c r="BU156" s="95"/>
      <c r="BV156" s="95"/>
      <c r="BW156" s="95"/>
      <c r="BX156" s="95"/>
      <c r="BY156" s="95"/>
      <c r="BZ156" s="95"/>
    </row>
    <row r="157" spans="1:78" s="1221" customFormat="1" ht="9" customHeight="1">
      <c r="A157" s="2469"/>
      <c r="B157" s="1261" t="s">
        <v>1631</v>
      </c>
      <c r="C157" s="1255" t="s">
        <v>1505</v>
      </c>
      <c r="D157" s="1314" t="s">
        <v>1495</v>
      </c>
      <c r="E157" s="1274">
        <f>AVERAGE(V157,AB157)/300</f>
        <v>0.67333333333333334</v>
      </c>
      <c r="F157" s="1356"/>
      <c r="G157" s="2483"/>
      <c r="H157" s="1378">
        <f t="shared" si="23"/>
        <v>48.137943249912865</v>
      </c>
      <c r="I157" s="1258">
        <f>(SUM(Y157,AE157,AA157,AG157)/2)/300</f>
        <v>157.44235</v>
      </c>
      <c r="J157" s="1379">
        <f t="shared" si="27"/>
        <v>4750</v>
      </c>
      <c r="K157" s="2489"/>
      <c r="L157" s="1322">
        <f t="shared" si="25"/>
        <v>256.97536656239106</v>
      </c>
      <c r="M157" s="1226"/>
      <c r="N157" s="1222"/>
      <c r="O157" s="1222"/>
      <c r="P157" s="1270"/>
      <c r="Q157" s="1270"/>
      <c r="R157" s="1270"/>
      <c r="S157" s="1270"/>
      <c r="T157" s="1336"/>
      <c r="U157" s="1255" t="s">
        <v>1632</v>
      </c>
      <c r="V157" s="1282">
        <v>204</v>
      </c>
      <c r="W157" s="1365">
        <v>108</v>
      </c>
      <c r="X157" s="1365">
        <v>22064</v>
      </c>
      <c r="Y157" s="1365">
        <v>15161</v>
      </c>
      <c r="Z157" s="1365">
        <v>5500</v>
      </c>
      <c r="AA157" s="1366">
        <v>52450</v>
      </c>
      <c r="AB157" s="1282">
        <v>200</v>
      </c>
      <c r="AC157" s="1365">
        <v>98</v>
      </c>
      <c r="AD157" s="1365">
        <v>19498</v>
      </c>
      <c r="AE157" s="1365">
        <v>21854.41</v>
      </c>
      <c r="AF157" s="1365">
        <v>4000</v>
      </c>
      <c r="AG157" s="1366">
        <v>5000</v>
      </c>
      <c r="AH157" s="1226"/>
      <c r="AI157" s="1222"/>
      <c r="AJ157" s="1222"/>
      <c r="AK157" s="1222"/>
      <c r="AL157" s="1222"/>
      <c r="AM157" s="1222"/>
      <c r="AN157" s="1222"/>
      <c r="AO157" s="1226"/>
      <c r="AP157" s="1253"/>
      <c r="BJ157" s="95"/>
      <c r="BK157" s="153"/>
      <c r="BL157" s="153"/>
      <c r="BM157" s="153"/>
      <c r="BN157" s="153"/>
      <c r="BO157" s="153"/>
      <c r="BP157" s="153"/>
      <c r="BQ157" s="153"/>
      <c r="BR157" s="153"/>
      <c r="BS157" s="153"/>
      <c r="BT157" s="153"/>
      <c r="BU157" s="95"/>
      <c r="BV157" s="95"/>
      <c r="BW157" s="95"/>
      <c r="BX157" s="95"/>
      <c r="BY157" s="95"/>
      <c r="BZ157" s="95"/>
    </row>
    <row r="158" spans="1:78" s="1221" customFormat="1">
      <c r="A158" s="2469"/>
      <c r="B158" s="1226"/>
      <c r="C158" s="1223"/>
      <c r="D158" s="1384"/>
      <c r="E158" s="1263"/>
      <c r="F158" s="1263"/>
      <c r="G158" s="1358"/>
      <c r="H158" s="1358"/>
      <c r="I158" s="1358"/>
      <c r="J158" s="1358"/>
      <c r="K158" s="1263"/>
      <c r="L158" s="1327"/>
      <c r="M158" s="1226"/>
      <c r="N158" s="1222"/>
      <c r="O158" s="1222"/>
      <c r="P158" s="1270"/>
      <c r="Q158" s="1270"/>
      <c r="R158" s="1270"/>
      <c r="S158" s="1270"/>
      <c r="T158" s="1336"/>
      <c r="U158" s="1314" t="s">
        <v>1665</v>
      </c>
      <c r="V158" s="1226"/>
      <c r="W158" s="1222"/>
      <c r="X158" s="1222"/>
      <c r="Y158" s="1222"/>
      <c r="Z158" s="1222"/>
      <c r="AA158" s="1222"/>
      <c r="AB158" s="1226"/>
      <c r="AC158" s="1222"/>
      <c r="AD158" s="1222"/>
      <c r="AE158" s="1222"/>
      <c r="AF158" s="1222"/>
      <c r="AG158" s="1222"/>
      <c r="AH158" s="1226"/>
      <c r="AI158" s="1222"/>
      <c r="AJ158" s="1222"/>
      <c r="AK158" s="1222"/>
      <c r="AL158" s="1222"/>
      <c r="AM158" s="1222"/>
      <c r="AN158" s="1222"/>
      <c r="AO158" s="1282">
        <v>223</v>
      </c>
      <c r="AP158" s="1283">
        <v>53.94</v>
      </c>
      <c r="BJ158" s="95"/>
      <c r="BK158" s="153"/>
      <c r="BL158" s="153"/>
      <c r="BM158" s="153"/>
      <c r="BN158" s="153"/>
      <c r="BO158" s="153"/>
      <c r="BP158" s="153"/>
      <c r="BQ158" s="153"/>
      <c r="BR158" s="153"/>
      <c r="BS158" s="153"/>
      <c r="BT158" s="153"/>
      <c r="BU158" s="95"/>
      <c r="BV158" s="95"/>
      <c r="BW158" s="95"/>
      <c r="BX158" s="95"/>
      <c r="BY158" s="95"/>
      <c r="BZ158" s="95"/>
    </row>
    <row r="159" spans="1:78" s="1221" customFormat="1">
      <c r="A159" s="2469"/>
      <c r="B159" s="1226"/>
      <c r="C159" s="1223"/>
      <c r="D159" s="1223"/>
      <c r="E159" s="1222"/>
      <c r="F159" s="1222"/>
      <c r="G159" s="1270"/>
      <c r="H159" s="1270"/>
      <c r="I159" s="1270"/>
      <c r="J159" s="1270"/>
      <c r="K159" s="1222"/>
      <c r="L159" s="1336"/>
      <c r="M159" s="1226"/>
      <c r="N159" s="1222"/>
      <c r="O159" s="1222"/>
      <c r="P159" s="1270"/>
      <c r="Q159" s="1270"/>
      <c r="R159" s="1270"/>
      <c r="S159" s="1270"/>
      <c r="T159" s="1336"/>
      <c r="U159" s="1314" t="s">
        <v>1666</v>
      </c>
      <c r="V159" s="1226"/>
      <c r="W159" s="1222"/>
      <c r="X159" s="1222"/>
      <c r="Y159" s="1222"/>
      <c r="Z159" s="1222"/>
      <c r="AA159" s="1222"/>
      <c r="AB159" s="1226"/>
      <c r="AC159" s="1222"/>
      <c r="AD159" s="1222"/>
      <c r="AE159" s="1222"/>
      <c r="AF159" s="1222"/>
      <c r="AG159" s="1222"/>
      <c r="AH159" s="1226"/>
      <c r="AI159" s="1222"/>
      <c r="AJ159" s="1222"/>
      <c r="AK159" s="1222"/>
      <c r="AL159" s="1222"/>
      <c r="AM159" s="1222"/>
      <c r="AN159" s="1222"/>
      <c r="AO159" s="1282">
        <v>230</v>
      </c>
      <c r="AP159" s="1283">
        <v>53.94</v>
      </c>
      <c r="BJ159" s="95"/>
      <c r="BK159" s="153"/>
      <c r="BL159" s="153"/>
      <c r="BM159" s="153"/>
      <c r="BN159" s="153"/>
      <c r="BO159" s="153"/>
      <c r="BP159" s="153"/>
      <c r="BQ159" s="153"/>
      <c r="BR159" s="153"/>
      <c r="BS159" s="153"/>
      <c r="BT159" s="153"/>
      <c r="BU159" s="95"/>
      <c r="BV159" s="95"/>
      <c r="BW159" s="95"/>
      <c r="BX159" s="95"/>
      <c r="BY159" s="95"/>
      <c r="BZ159" s="95"/>
    </row>
    <row r="160" spans="1:78" s="1221" customFormat="1">
      <c r="A160" s="2469"/>
      <c r="B160" s="1226"/>
      <c r="C160" s="1223"/>
      <c r="D160" s="1223"/>
      <c r="E160" s="1222"/>
      <c r="F160" s="1222"/>
      <c r="G160" s="1270"/>
      <c r="H160" s="1270"/>
      <c r="I160" s="1270"/>
      <c r="J160" s="1270"/>
      <c r="K160" s="1222"/>
      <c r="L160" s="1336"/>
      <c r="M160" s="1226"/>
      <c r="N160" s="1222"/>
      <c r="O160" s="1222"/>
      <c r="P160" s="1270"/>
      <c r="Q160" s="1270"/>
      <c r="R160" s="1270"/>
      <c r="S160" s="1270"/>
      <c r="T160" s="1336"/>
      <c r="U160" s="1314" t="s">
        <v>1667</v>
      </c>
      <c r="V160" s="1226"/>
      <c r="W160" s="1222"/>
      <c r="X160" s="1222"/>
      <c r="Y160" s="1222"/>
      <c r="Z160" s="1222"/>
      <c r="AA160" s="1222"/>
      <c r="AB160" s="1226"/>
      <c r="AC160" s="1222"/>
      <c r="AD160" s="1222"/>
      <c r="AE160" s="1222"/>
      <c r="AF160" s="1222"/>
      <c r="AG160" s="1222"/>
      <c r="AH160" s="1226"/>
      <c r="AI160" s="1222"/>
      <c r="AJ160" s="1222"/>
      <c r="AK160" s="1222"/>
      <c r="AL160" s="1222"/>
      <c r="AM160" s="1222"/>
      <c r="AN160" s="1222"/>
      <c r="AO160" s="1282">
        <v>240</v>
      </c>
      <c r="AP160" s="1283">
        <v>53.94</v>
      </c>
      <c r="BJ160" s="95"/>
      <c r="BK160" s="153"/>
      <c r="BL160" s="153"/>
      <c r="BM160" s="153"/>
      <c r="BN160" s="153"/>
      <c r="BO160" s="153"/>
      <c r="BP160" s="153"/>
      <c r="BQ160" s="153"/>
      <c r="BR160" s="153"/>
      <c r="BS160" s="153"/>
      <c r="BT160" s="153"/>
      <c r="BU160" s="95"/>
      <c r="BV160" s="95"/>
      <c r="BW160" s="95"/>
      <c r="BX160" s="95"/>
      <c r="BY160" s="95"/>
      <c r="BZ160" s="95"/>
    </row>
    <row r="161" spans="1:78" s="1221" customFormat="1">
      <c r="A161" s="2469"/>
      <c r="B161" s="1226"/>
      <c r="C161" s="1223"/>
      <c r="D161" s="1223"/>
      <c r="E161" s="1222"/>
      <c r="F161" s="1222"/>
      <c r="G161" s="1270"/>
      <c r="H161" s="1270"/>
      <c r="I161" s="1270"/>
      <c r="J161" s="1270"/>
      <c r="K161" s="1222"/>
      <c r="L161" s="1336"/>
      <c r="M161" s="1226"/>
      <c r="N161" s="1222"/>
      <c r="O161" s="1222"/>
      <c r="P161" s="1270"/>
      <c r="Q161" s="1270"/>
      <c r="R161" s="1270"/>
      <c r="S161" s="1270"/>
      <c r="T161" s="1336"/>
      <c r="U161" s="1314" t="s">
        <v>1668</v>
      </c>
      <c r="V161" s="1226"/>
      <c r="W161" s="1222"/>
      <c r="X161" s="1222"/>
      <c r="Y161" s="1222"/>
      <c r="Z161" s="1222"/>
      <c r="AA161" s="1222"/>
      <c r="AB161" s="1226"/>
      <c r="AC161" s="1222"/>
      <c r="AD161" s="1222"/>
      <c r="AE161" s="1222"/>
      <c r="AF161" s="1222"/>
      <c r="AG161" s="1222"/>
      <c r="AH161" s="1226"/>
      <c r="AI161" s="1222"/>
      <c r="AJ161" s="1222"/>
      <c r="AK161" s="1222"/>
      <c r="AL161" s="1222"/>
      <c r="AM161" s="1222"/>
      <c r="AN161" s="1222"/>
      <c r="AO161" s="1264">
        <v>251</v>
      </c>
      <c r="AP161" s="1283">
        <v>53.94</v>
      </c>
      <c r="BJ161" s="95"/>
      <c r="BK161" s="153"/>
      <c r="BL161" s="153"/>
      <c r="BM161" s="153"/>
      <c r="BN161" s="153"/>
      <c r="BO161" s="153"/>
      <c r="BP161" s="153"/>
      <c r="BQ161" s="153"/>
      <c r="BR161" s="153"/>
      <c r="BS161" s="153"/>
      <c r="BT161" s="153"/>
      <c r="BU161" s="95"/>
      <c r="BV161" s="95"/>
      <c r="BW161" s="95"/>
      <c r="BX161" s="95"/>
      <c r="BY161" s="95"/>
      <c r="BZ161" s="95"/>
    </row>
    <row r="162" spans="1:78" s="1221" customFormat="1">
      <c r="A162" s="2469"/>
      <c r="B162" s="1226"/>
      <c r="C162" s="1223"/>
      <c r="D162" s="1223"/>
      <c r="E162" s="1222"/>
      <c r="F162" s="1222"/>
      <c r="G162" s="1270"/>
      <c r="H162" s="1270"/>
      <c r="I162" s="1270"/>
      <c r="J162" s="1270"/>
      <c r="K162" s="1222"/>
      <c r="L162" s="1336"/>
      <c r="M162" s="1226"/>
      <c r="N162" s="1222"/>
      <c r="O162" s="1222"/>
      <c r="P162" s="1270"/>
      <c r="Q162" s="1270"/>
      <c r="R162" s="1270"/>
      <c r="S162" s="1270"/>
      <c r="T162" s="1336"/>
      <c r="U162" s="1314" t="s">
        <v>1669</v>
      </c>
      <c r="V162" s="1226"/>
      <c r="W162" s="1222"/>
      <c r="X162" s="1222"/>
      <c r="Y162" s="1222"/>
      <c r="Z162" s="1222"/>
      <c r="AA162" s="1222"/>
      <c r="AB162" s="1226"/>
      <c r="AC162" s="1222"/>
      <c r="AD162" s="1222"/>
      <c r="AE162" s="1222"/>
      <c r="AF162" s="1222"/>
      <c r="AG162" s="1222"/>
      <c r="AH162" s="1226"/>
      <c r="AI162" s="1222"/>
      <c r="AJ162" s="1222"/>
      <c r="AK162" s="1222"/>
      <c r="AL162" s="1222"/>
      <c r="AM162" s="1222"/>
      <c r="AN162" s="1222"/>
      <c r="AO162" s="1264">
        <v>260</v>
      </c>
      <c r="AP162" s="1283">
        <v>53.94</v>
      </c>
      <c r="BJ162" s="95"/>
      <c r="BK162" s="153"/>
      <c r="BL162" s="153"/>
      <c r="BM162" s="153"/>
      <c r="BN162" s="153"/>
      <c r="BO162" s="153"/>
      <c r="BP162" s="153"/>
      <c r="BQ162" s="153"/>
      <c r="BR162" s="153"/>
      <c r="BS162" s="153"/>
      <c r="BT162" s="153"/>
      <c r="BU162" s="95"/>
      <c r="BV162" s="95"/>
      <c r="BW162" s="95"/>
      <c r="BX162" s="95"/>
      <c r="BY162" s="95"/>
      <c r="BZ162" s="95"/>
    </row>
    <row r="163" spans="1:78" s="1221" customFormat="1">
      <c r="A163" s="2469"/>
      <c r="B163" s="1226"/>
      <c r="C163" s="1223"/>
      <c r="D163" s="1223"/>
      <c r="E163" s="1222"/>
      <c r="F163" s="1222"/>
      <c r="G163" s="1270"/>
      <c r="H163" s="1270"/>
      <c r="I163" s="1270"/>
      <c r="J163" s="1270"/>
      <c r="K163" s="1222"/>
      <c r="L163" s="1336"/>
      <c r="M163" s="1226"/>
      <c r="N163" s="1222"/>
      <c r="O163" s="1222"/>
      <c r="P163" s="1270"/>
      <c r="Q163" s="1270"/>
      <c r="R163" s="1270"/>
      <c r="S163" s="1270"/>
      <c r="T163" s="1336"/>
      <c r="U163" s="1314" t="s">
        <v>1670</v>
      </c>
      <c r="V163" s="1226"/>
      <c r="W163" s="1222"/>
      <c r="X163" s="1222"/>
      <c r="Y163" s="1222"/>
      <c r="Z163" s="1222"/>
      <c r="AA163" s="1222"/>
      <c r="AB163" s="1226"/>
      <c r="AC163" s="1222"/>
      <c r="AD163" s="1222"/>
      <c r="AE163" s="1222"/>
      <c r="AF163" s="1222"/>
      <c r="AG163" s="1222"/>
      <c r="AH163" s="1226"/>
      <c r="AI163" s="1222"/>
      <c r="AJ163" s="1222"/>
      <c r="AK163" s="1222"/>
      <c r="AL163" s="1222"/>
      <c r="AM163" s="1222"/>
      <c r="AN163" s="1222"/>
      <c r="AO163" s="1264">
        <v>266</v>
      </c>
      <c r="AP163" s="1283">
        <v>53.94</v>
      </c>
      <c r="BJ163" s="95"/>
      <c r="BK163" s="153"/>
      <c r="BL163" s="153"/>
      <c r="BM163" s="153"/>
      <c r="BN163" s="153"/>
      <c r="BO163" s="153"/>
      <c r="BP163" s="153"/>
      <c r="BQ163" s="153"/>
      <c r="BR163" s="153"/>
      <c r="BS163" s="153"/>
      <c r="BT163" s="153"/>
      <c r="BU163" s="95"/>
      <c r="BV163" s="95"/>
      <c r="BW163" s="95"/>
      <c r="BX163" s="95"/>
      <c r="BY163" s="95"/>
      <c r="BZ163" s="95"/>
    </row>
    <row r="164" spans="1:78" s="1221" customFormat="1">
      <c r="A164" s="2469"/>
      <c r="B164" s="1226"/>
      <c r="C164" s="1223"/>
      <c r="D164" s="1223"/>
      <c r="E164" s="1222"/>
      <c r="F164" s="1222"/>
      <c r="G164" s="1270"/>
      <c r="H164" s="1270"/>
      <c r="I164" s="1270"/>
      <c r="J164" s="1270"/>
      <c r="K164" s="1222"/>
      <c r="L164" s="1336"/>
      <c r="M164" s="1226"/>
      <c r="N164" s="1222"/>
      <c r="O164" s="1222"/>
      <c r="P164" s="1270"/>
      <c r="Q164" s="1270"/>
      <c r="R164" s="1270"/>
      <c r="S164" s="1270"/>
      <c r="T164" s="1336"/>
      <c r="U164" s="1314" t="s">
        <v>1671</v>
      </c>
      <c r="V164" s="1226"/>
      <c r="W164" s="1222"/>
      <c r="X164" s="1222"/>
      <c r="Y164" s="1222"/>
      <c r="Z164" s="1222"/>
      <c r="AA164" s="1222"/>
      <c r="AB164" s="1226"/>
      <c r="AC164" s="1222"/>
      <c r="AD164" s="1222"/>
      <c r="AE164" s="1222"/>
      <c r="AF164" s="1222"/>
      <c r="AG164" s="1222"/>
      <c r="AH164" s="1226"/>
      <c r="AI164" s="1222"/>
      <c r="AJ164" s="1222"/>
      <c r="AK164" s="1222"/>
      <c r="AL164" s="1222"/>
      <c r="AM164" s="1222"/>
      <c r="AN164" s="1222"/>
      <c r="AO164" s="1264">
        <v>275</v>
      </c>
      <c r="AP164" s="1283">
        <v>53.94</v>
      </c>
      <c r="BJ164" s="95"/>
      <c r="BK164" s="153"/>
      <c r="BL164" s="153"/>
      <c r="BM164" s="153"/>
      <c r="BN164" s="153"/>
      <c r="BO164" s="153"/>
      <c r="BP164" s="153"/>
      <c r="BQ164" s="153"/>
      <c r="BR164" s="153"/>
      <c r="BS164" s="153"/>
      <c r="BT164" s="153"/>
      <c r="BU164" s="95"/>
      <c r="BV164" s="95"/>
      <c r="BW164" s="95"/>
      <c r="BX164" s="95"/>
      <c r="BY164" s="95"/>
      <c r="BZ164" s="95"/>
    </row>
    <row r="165" spans="1:78" s="1221" customFormat="1">
      <c r="A165" s="2469"/>
      <c r="B165" s="1226"/>
      <c r="C165" s="1223"/>
      <c r="D165" s="1223"/>
      <c r="E165" s="1222"/>
      <c r="F165" s="1222"/>
      <c r="G165" s="1270"/>
      <c r="H165" s="1270"/>
      <c r="I165" s="1270"/>
      <c r="J165" s="1270"/>
      <c r="K165" s="1222"/>
      <c r="L165" s="1336"/>
      <c r="M165" s="1226"/>
      <c r="N165" s="1222"/>
      <c r="O165" s="1222"/>
      <c r="P165" s="1270"/>
      <c r="Q165" s="1270"/>
      <c r="R165" s="1270"/>
      <c r="S165" s="1270"/>
      <c r="T165" s="1336"/>
      <c r="U165" s="1314" t="s">
        <v>1672</v>
      </c>
      <c r="V165" s="1226"/>
      <c r="W165" s="1222"/>
      <c r="X165" s="1222"/>
      <c r="Y165" s="1222"/>
      <c r="Z165" s="1222"/>
      <c r="AA165" s="1222"/>
      <c r="AB165" s="1226"/>
      <c r="AC165" s="1222"/>
      <c r="AD165" s="1222"/>
      <c r="AE165" s="1222"/>
      <c r="AF165" s="1222"/>
      <c r="AG165" s="1222"/>
      <c r="AH165" s="1226"/>
      <c r="AI165" s="1222"/>
      <c r="AJ165" s="1222"/>
      <c r="AK165" s="1222"/>
      <c r="AL165" s="1222"/>
      <c r="AM165" s="1222"/>
      <c r="AN165" s="1222"/>
      <c r="AO165" s="1264">
        <v>28.07</v>
      </c>
      <c r="AP165" s="1283">
        <v>50.98</v>
      </c>
      <c r="BJ165" s="95"/>
      <c r="BK165" s="153"/>
      <c r="BL165" s="153"/>
      <c r="BM165" s="153"/>
      <c r="BN165" s="153"/>
      <c r="BO165" s="153"/>
      <c r="BP165" s="153"/>
      <c r="BQ165" s="153"/>
      <c r="BR165" s="153"/>
      <c r="BS165" s="153"/>
      <c r="BT165" s="153"/>
      <c r="BU165" s="95"/>
      <c r="BV165" s="95"/>
      <c r="BW165" s="95"/>
      <c r="BX165" s="95"/>
      <c r="BY165" s="95"/>
      <c r="BZ165" s="95"/>
    </row>
    <row r="166" spans="1:78" s="1221" customFormat="1">
      <c r="A166" s="2469"/>
      <c r="B166" s="1226"/>
      <c r="C166" s="1223"/>
      <c r="D166" s="1223"/>
      <c r="E166" s="1222"/>
      <c r="F166" s="1222"/>
      <c r="G166" s="1270"/>
      <c r="H166" s="1270"/>
      <c r="I166" s="1270"/>
      <c r="J166" s="1270"/>
      <c r="K166" s="1222"/>
      <c r="L166" s="1336"/>
      <c r="M166" s="1226"/>
      <c r="N166" s="1222"/>
      <c r="O166" s="1222"/>
      <c r="P166" s="1270"/>
      <c r="Q166" s="1270"/>
      <c r="R166" s="1270"/>
      <c r="S166" s="1270"/>
      <c r="T166" s="1336"/>
      <c r="U166" s="1314" t="s">
        <v>1673</v>
      </c>
      <c r="V166" s="1226"/>
      <c r="W166" s="1222"/>
      <c r="X166" s="1222"/>
      <c r="Y166" s="1222"/>
      <c r="Z166" s="1222"/>
      <c r="AA166" s="1222"/>
      <c r="AB166" s="1226"/>
      <c r="AC166" s="1222"/>
      <c r="AD166" s="1222"/>
      <c r="AE166" s="1222"/>
      <c r="AF166" s="1222"/>
      <c r="AG166" s="1222"/>
      <c r="AH166" s="1226"/>
      <c r="AI166" s="1222"/>
      <c r="AJ166" s="1222"/>
      <c r="AK166" s="1222"/>
      <c r="AL166" s="1222"/>
      <c r="AM166" s="1222"/>
      <c r="AN166" s="1222"/>
      <c r="AO166" s="1264">
        <v>28.07</v>
      </c>
      <c r="AP166" s="1283">
        <v>50.98</v>
      </c>
      <c r="BJ166" s="95"/>
      <c r="BK166" s="153"/>
      <c r="BL166" s="153"/>
      <c r="BM166" s="153"/>
      <c r="BN166" s="153"/>
      <c r="BO166" s="153"/>
      <c r="BP166" s="153"/>
      <c r="BQ166" s="153"/>
      <c r="BR166" s="153"/>
      <c r="BS166" s="153"/>
      <c r="BT166" s="153"/>
      <c r="BU166" s="95"/>
      <c r="BV166" s="95"/>
      <c r="BW166" s="95"/>
      <c r="BX166" s="95"/>
      <c r="BY166" s="95"/>
      <c r="BZ166" s="95"/>
    </row>
    <row r="167" spans="1:78" s="1221" customFormat="1">
      <c r="A167" s="2469"/>
      <c r="B167" s="1226"/>
      <c r="C167" s="1223"/>
      <c r="D167" s="1223"/>
      <c r="E167" s="1222"/>
      <c r="F167" s="1222"/>
      <c r="G167" s="1270"/>
      <c r="H167" s="1270"/>
      <c r="I167" s="1270"/>
      <c r="J167" s="1270"/>
      <c r="K167" s="1222"/>
      <c r="L167" s="1336"/>
      <c r="M167" s="1226"/>
      <c r="N167" s="1222"/>
      <c r="O167" s="1222"/>
      <c r="P167" s="1270"/>
      <c r="Q167" s="1270"/>
      <c r="R167" s="1270"/>
      <c r="S167" s="1270"/>
      <c r="T167" s="1336"/>
      <c r="U167" s="1314" t="s">
        <v>1674</v>
      </c>
      <c r="V167" s="1226"/>
      <c r="W167" s="1222"/>
      <c r="X167" s="1222"/>
      <c r="Y167" s="1222"/>
      <c r="Z167" s="1222"/>
      <c r="AA167" s="1222"/>
      <c r="AB167" s="1226"/>
      <c r="AC167" s="1222"/>
      <c r="AD167" s="1222"/>
      <c r="AE167" s="1222"/>
      <c r="AF167" s="1222"/>
      <c r="AG167" s="1222"/>
      <c r="AH167" s="1226"/>
      <c r="AI167" s="1222"/>
      <c r="AJ167" s="1222"/>
      <c r="AK167" s="1222"/>
      <c r="AL167" s="1222"/>
      <c r="AM167" s="1222"/>
      <c r="AN167" s="1222"/>
      <c r="AO167" s="1264">
        <v>38.005000000000003</v>
      </c>
      <c r="AP167" s="1283">
        <v>50.98</v>
      </c>
      <c r="AQ167" s="1221">
        <v>80</v>
      </c>
      <c r="AR167" s="1221">
        <f t="shared" ref="AR167:AR191" si="28">AO158/AQ167</f>
        <v>2.7875000000000001</v>
      </c>
      <c r="AS167" s="1221" t="s">
        <v>1568</v>
      </c>
      <c r="AT167" s="1221">
        <f>AVERAGE(AR167:AR173)</f>
        <v>1.5221258503401363</v>
      </c>
      <c r="BJ167" s="95"/>
      <c r="BK167" s="153"/>
      <c r="BL167" s="153"/>
      <c r="BM167" s="153"/>
      <c r="BN167" s="153"/>
      <c r="BO167" s="153"/>
      <c r="BP167" s="153"/>
      <c r="BQ167" s="153"/>
      <c r="BR167" s="153"/>
      <c r="BS167" s="153"/>
      <c r="BT167" s="153"/>
      <c r="BU167" s="95"/>
      <c r="BV167" s="95"/>
      <c r="BW167" s="95"/>
      <c r="BX167" s="95"/>
      <c r="BY167" s="95"/>
      <c r="BZ167" s="95"/>
    </row>
    <row r="168" spans="1:78" s="1221" customFormat="1">
      <c r="A168" s="2469"/>
      <c r="B168" s="1226"/>
      <c r="C168" s="1223"/>
      <c r="D168" s="1223"/>
      <c r="E168" s="1222"/>
      <c r="F168" s="1222"/>
      <c r="G168" s="1270"/>
      <c r="H168" s="1270"/>
      <c r="I168" s="1270"/>
      <c r="J168" s="1270"/>
      <c r="K168" s="1222"/>
      <c r="L168" s="1336"/>
      <c r="M168" s="1226"/>
      <c r="N168" s="1222"/>
      <c r="O168" s="1222"/>
      <c r="P168" s="1270"/>
      <c r="Q168" s="1270"/>
      <c r="R168" s="1270"/>
      <c r="S168" s="1270"/>
      <c r="T168" s="1336"/>
      <c r="U168" s="1314" t="s">
        <v>1675</v>
      </c>
      <c r="V168" s="1226"/>
      <c r="W168" s="1222"/>
      <c r="X168" s="1222"/>
      <c r="Y168" s="1222"/>
      <c r="Z168" s="1222"/>
      <c r="AA168" s="1222"/>
      <c r="AB168" s="1226"/>
      <c r="AC168" s="1222"/>
      <c r="AD168" s="1222"/>
      <c r="AE168" s="1222"/>
      <c r="AF168" s="1222"/>
      <c r="AG168" s="1222"/>
      <c r="AH168" s="1226"/>
      <c r="AI168" s="1222"/>
      <c r="AJ168" s="1222"/>
      <c r="AK168" s="1222"/>
      <c r="AL168" s="1222"/>
      <c r="AM168" s="1222"/>
      <c r="AN168" s="1222"/>
      <c r="AO168" s="1264">
        <v>52.116999999999997</v>
      </c>
      <c r="AP168" s="1283">
        <v>50.98</v>
      </c>
      <c r="AQ168" s="1221">
        <v>100</v>
      </c>
      <c r="AR168" s="1221">
        <f t="shared" si="28"/>
        <v>2.2999999999999998</v>
      </c>
      <c r="AS168" s="1221" t="s">
        <v>1569</v>
      </c>
      <c r="AT168" s="1221">
        <f>STDEV(AR167:AR173)</f>
        <v>0.7596310767556298</v>
      </c>
      <c r="BJ168" s="95"/>
      <c r="BK168" s="153"/>
      <c r="BL168" s="153"/>
      <c r="BM168" s="153"/>
      <c r="BN168" s="153"/>
      <c r="BO168" s="153"/>
      <c r="BP168" s="153"/>
      <c r="BQ168" s="153"/>
      <c r="BR168" s="153"/>
      <c r="BS168" s="153"/>
      <c r="BT168" s="153"/>
      <c r="BU168" s="95"/>
      <c r="BV168" s="95"/>
      <c r="BW168" s="95"/>
      <c r="BX168" s="95"/>
      <c r="BY168" s="95"/>
      <c r="BZ168" s="95"/>
    </row>
    <row r="169" spans="1:78" s="1221" customFormat="1">
      <c r="A169" s="2469"/>
      <c r="B169" s="1226"/>
      <c r="C169" s="1223"/>
      <c r="D169" s="1223"/>
      <c r="E169" s="1222"/>
      <c r="F169" s="1222"/>
      <c r="G169" s="1270"/>
      <c r="H169" s="1270"/>
      <c r="I169" s="1270"/>
      <c r="J169" s="1270"/>
      <c r="K169" s="1222"/>
      <c r="L169" s="1336"/>
      <c r="M169" s="1226"/>
      <c r="N169" s="1222"/>
      <c r="O169" s="1222"/>
      <c r="P169" s="1270"/>
      <c r="Q169" s="1270"/>
      <c r="R169" s="1270"/>
      <c r="S169" s="1270"/>
      <c r="T169" s="1336"/>
      <c r="U169" s="1314" t="s">
        <v>1639</v>
      </c>
      <c r="V169" s="1226"/>
      <c r="W169" s="1222"/>
      <c r="X169" s="1222"/>
      <c r="Y169" s="1222"/>
      <c r="Z169" s="1222"/>
      <c r="AA169" s="1222"/>
      <c r="AB169" s="1226"/>
      <c r="AC169" s="1222"/>
      <c r="AD169" s="1222"/>
      <c r="AE169" s="1222"/>
      <c r="AF169" s="1222"/>
      <c r="AG169" s="1222"/>
      <c r="AH169" s="1226"/>
      <c r="AI169" s="1222"/>
      <c r="AJ169" s="1222"/>
      <c r="AK169" s="1222"/>
      <c r="AL169" s="1222"/>
      <c r="AM169" s="1222"/>
      <c r="AN169" s="1222"/>
      <c r="AO169" s="1264">
        <v>67.039000000000001</v>
      </c>
      <c r="AP169" s="1283">
        <v>52.87</v>
      </c>
      <c r="AQ169" s="1221">
        <v>150</v>
      </c>
      <c r="AR169" s="1221">
        <f t="shared" si="28"/>
        <v>1.6</v>
      </c>
      <c r="BJ169" s="95"/>
      <c r="BK169" s="153"/>
      <c r="BL169" s="153"/>
      <c r="BM169" s="153"/>
      <c r="BN169" s="153"/>
      <c r="BO169" s="153"/>
      <c r="BP169" s="153"/>
      <c r="BQ169" s="153"/>
      <c r="BR169" s="153"/>
      <c r="BS169" s="153"/>
      <c r="BT169" s="153"/>
      <c r="BU169" s="95"/>
      <c r="BV169" s="95"/>
      <c r="BW169" s="95"/>
      <c r="BX169" s="95"/>
      <c r="BY169" s="95"/>
      <c r="BZ169" s="95"/>
    </row>
    <row r="170" spans="1:78" s="1221" customFormat="1">
      <c r="A170" s="2469"/>
      <c r="B170" s="1226"/>
      <c r="C170" s="1223"/>
      <c r="D170" s="1223"/>
      <c r="E170" s="1222"/>
      <c r="F170" s="1222"/>
      <c r="G170" s="1270"/>
      <c r="H170" s="1270"/>
      <c r="I170" s="1270"/>
      <c r="J170" s="1270"/>
      <c r="K170" s="1222"/>
      <c r="L170" s="1336"/>
      <c r="M170" s="1226"/>
      <c r="N170" s="1222"/>
      <c r="O170" s="1222"/>
      <c r="P170" s="1270"/>
      <c r="Q170" s="1270"/>
      <c r="R170" s="1270"/>
      <c r="S170" s="1270"/>
      <c r="T170" s="1336"/>
      <c r="U170" s="1314" t="s">
        <v>1640</v>
      </c>
      <c r="V170" s="1226"/>
      <c r="W170" s="1222"/>
      <c r="X170" s="1222"/>
      <c r="Y170" s="1222"/>
      <c r="Z170" s="1222"/>
      <c r="AA170" s="1222"/>
      <c r="AB170" s="1226"/>
      <c r="AC170" s="1222"/>
      <c r="AD170" s="1222"/>
      <c r="AE170" s="1222"/>
      <c r="AF170" s="1222"/>
      <c r="AG170" s="1222"/>
      <c r="AH170" s="1226"/>
      <c r="AI170" s="1222"/>
      <c r="AJ170" s="1222"/>
      <c r="AK170" s="1222"/>
      <c r="AL170" s="1222"/>
      <c r="AM170" s="1222"/>
      <c r="AN170" s="1222"/>
      <c r="AO170" s="1264">
        <v>72.727000000000004</v>
      </c>
      <c r="AP170" s="1283">
        <v>52.87</v>
      </c>
      <c r="AQ170" s="1221">
        <v>200</v>
      </c>
      <c r="AR170" s="1221">
        <f t="shared" si="28"/>
        <v>1.2549999999999999</v>
      </c>
      <c r="BJ170" s="95"/>
      <c r="BK170" s="153"/>
      <c r="BL170" s="153"/>
      <c r="BM170" s="153"/>
      <c r="BN170" s="153"/>
      <c r="BO170" s="153"/>
      <c r="BP170" s="153"/>
      <c r="BQ170" s="153"/>
      <c r="BR170" s="153"/>
      <c r="BS170" s="153"/>
      <c r="BT170" s="153"/>
      <c r="BU170" s="95"/>
      <c r="BV170" s="95"/>
      <c r="BW170" s="95"/>
      <c r="BX170" s="95"/>
      <c r="BY170" s="95"/>
      <c r="BZ170" s="95"/>
    </row>
    <row r="171" spans="1:78" s="1221" customFormat="1">
      <c r="A171" s="2469"/>
      <c r="B171" s="1226"/>
      <c r="C171" s="1223"/>
      <c r="D171" s="1223"/>
      <c r="E171" s="1222"/>
      <c r="F171" s="1222"/>
      <c r="G171" s="1270"/>
      <c r="H171" s="1270"/>
      <c r="I171" s="1270"/>
      <c r="J171" s="1270"/>
      <c r="K171" s="1222"/>
      <c r="L171" s="1336"/>
      <c r="M171" s="1226"/>
      <c r="N171" s="1222"/>
      <c r="O171" s="1222"/>
      <c r="P171" s="1270"/>
      <c r="Q171" s="1270"/>
      <c r="R171" s="1270"/>
      <c r="S171" s="1270"/>
      <c r="T171" s="1336"/>
      <c r="U171" s="1314" t="s">
        <v>1641</v>
      </c>
      <c r="V171" s="1226"/>
      <c r="W171" s="1222"/>
      <c r="X171" s="1222"/>
      <c r="Y171" s="1222"/>
      <c r="Z171" s="1222"/>
      <c r="AA171" s="1222"/>
      <c r="AB171" s="1226"/>
      <c r="AC171" s="1222"/>
      <c r="AD171" s="1222"/>
      <c r="AE171" s="1222"/>
      <c r="AF171" s="1222"/>
      <c r="AG171" s="1222"/>
      <c r="AH171" s="1226"/>
      <c r="AI171" s="1222"/>
      <c r="AJ171" s="1222"/>
      <c r="AK171" s="1222"/>
      <c r="AL171" s="1222"/>
      <c r="AM171" s="1222"/>
      <c r="AN171" s="1222"/>
      <c r="AO171" s="1264">
        <v>83.99</v>
      </c>
      <c r="AP171" s="1283">
        <v>53.94</v>
      </c>
      <c r="AQ171" s="1221">
        <v>250</v>
      </c>
      <c r="AR171" s="1221">
        <f t="shared" si="28"/>
        <v>1.04</v>
      </c>
      <c r="BJ171" s="95"/>
      <c r="BK171" s="153"/>
      <c r="BL171" s="153"/>
      <c r="BM171" s="153"/>
      <c r="BN171" s="153"/>
      <c r="BO171" s="153"/>
      <c r="BP171" s="153"/>
      <c r="BQ171" s="153"/>
      <c r="BR171" s="153"/>
      <c r="BS171" s="153"/>
      <c r="BT171" s="153"/>
      <c r="BU171" s="95"/>
      <c r="BV171" s="95"/>
      <c r="BW171" s="95"/>
      <c r="BX171" s="95"/>
      <c r="BY171" s="95"/>
      <c r="BZ171" s="95"/>
    </row>
    <row r="172" spans="1:78" s="1221" customFormat="1">
      <c r="A172" s="2469"/>
      <c r="B172" s="1226"/>
      <c r="C172" s="1223"/>
      <c r="D172" s="1223"/>
      <c r="E172" s="1222"/>
      <c r="F172" s="1222"/>
      <c r="G172" s="1270"/>
      <c r="H172" s="1270"/>
      <c r="I172" s="1270"/>
      <c r="J172" s="1270"/>
      <c r="K172" s="1222"/>
      <c r="L172" s="1336"/>
      <c r="M172" s="1226"/>
      <c r="N172" s="1222"/>
      <c r="O172" s="1222"/>
      <c r="P172" s="1270"/>
      <c r="Q172" s="1270"/>
      <c r="R172" s="1270"/>
      <c r="S172" s="1270"/>
      <c r="T172" s="1336"/>
      <c r="U172" s="1314" t="s">
        <v>1643</v>
      </c>
      <c r="V172" s="1226"/>
      <c r="W172" s="1222"/>
      <c r="X172" s="1222"/>
      <c r="Y172" s="1222"/>
      <c r="Z172" s="1222"/>
      <c r="AA172" s="1222"/>
      <c r="AB172" s="1226"/>
      <c r="AC172" s="1222"/>
      <c r="AD172" s="1222"/>
      <c r="AE172" s="1222"/>
      <c r="AF172" s="1222"/>
      <c r="AG172" s="1222"/>
      <c r="AH172" s="1226"/>
      <c r="AI172" s="1222"/>
      <c r="AJ172" s="1222"/>
      <c r="AK172" s="1222"/>
      <c r="AL172" s="1222"/>
      <c r="AM172" s="1222"/>
      <c r="AN172" s="1222"/>
      <c r="AO172" s="1264">
        <v>96.096000000000004</v>
      </c>
      <c r="AP172" s="1283">
        <v>53.94</v>
      </c>
      <c r="AQ172" s="1221">
        <v>300</v>
      </c>
      <c r="AR172" s="1221">
        <f t="shared" si="28"/>
        <v>0.88666666666666671</v>
      </c>
      <c r="BJ172" s="95"/>
      <c r="BK172" s="153"/>
      <c r="BL172" s="153"/>
      <c r="BM172" s="153"/>
      <c r="BN172" s="153"/>
      <c r="BO172" s="153"/>
      <c r="BP172" s="153"/>
      <c r="BQ172" s="153"/>
      <c r="BR172" s="153"/>
      <c r="BS172" s="153"/>
      <c r="BT172" s="153"/>
      <c r="BU172" s="95"/>
      <c r="BV172" s="95"/>
      <c r="BW172" s="95"/>
      <c r="BX172" s="95"/>
      <c r="BY172" s="95"/>
      <c r="BZ172" s="95"/>
    </row>
    <row r="173" spans="1:78" s="1221" customFormat="1">
      <c r="A173" s="2469"/>
      <c r="B173" s="1226"/>
      <c r="C173" s="1223"/>
      <c r="D173" s="1223"/>
      <c r="E173" s="1222"/>
      <c r="F173" s="1222"/>
      <c r="G173" s="1270"/>
      <c r="H173" s="1270"/>
      <c r="I173" s="1270"/>
      <c r="J173" s="1270"/>
      <c r="K173" s="1222"/>
      <c r="L173" s="1336"/>
      <c r="M173" s="1226"/>
      <c r="N173" s="1222"/>
      <c r="O173" s="1222"/>
      <c r="P173" s="1270"/>
      <c r="Q173" s="1270"/>
      <c r="R173" s="1270"/>
      <c r="S173" s="1270"/>
      <c r="T173" s="1336"/>
      <c r="U173" s="1314" t="s">
        <v>1676</v>
      </c>
      <c r="V173" s="1226"/>
      <c r="W173" s="1222"/>
      <c r="X173" s="1222"/>
      <c r="Y173" s="1222"/>
      <c r="Z173" s="1222"/>
      <c r="AA173" s="1222"/>
      <c r="AB173" s="1226"/>
      <c r="AC173" s="1222"/>
      <c r="AD173" s="1222"/>
      <c r="AE173" s="1222"/>
      <c r="AF173" s="1222"/>
      <c r="AG173" s="1222"/>
      <c r="AH173" s="1226"/>
      <c r="AI173" s="1222"/>
      <c r="AJ173" s="1222"/>
      <c r="AK173" s="1222"/>
      <c r="AL173" s="1222"/>
      <c r="AM173" s="1222"/>
      <c r="AN173" s="1222"/>
      <c r="AO173" s="1264">
        <v>283</v>
      </c>
      <c r="AP173" s="1283">
        <v>53.94</v>
      </c>
      <c r="AQ173" s="1221">
        <v>350</v>
      </c>
      <c r="AR173" s="1221">
        <f t="shared" si="28"/>
        <v>0.7857142857142857</v>
      </c>
      <c r="BJ173" s="95"/>
      <c r="BK173" s="153"/>
      <c r="BL173" s="153"/>
      <c r="BM173" s="153"/>
      <c r="BN173" s="153"/>
      <c r="BO173" s="153"/>
      <c r="BP173" s="153"/>
      <c r="BQ173" s="153"/>
      <c r="BR173" s="153"/>
      <c r="BS173" s="153"/>
      <c r="BT173" s="153"/>
      <c r="BU173" s="95"/>
      <c r="BV173" s="95"/>
      <c r="BW173" s="95"/>
      <c r="BX173" s="95"/>
      <c r="BY173" s="95"/>
      <c r="BZ173" s="95"/>
    </row>
    <row r="174" spans="1:78" s="1221" customFormat="1">
      <c r="A174" s="2469"/>
      <c r="B174" s="1226"/>
      <c r="C174" s="1223"/>
      <c r="D174" s="1223"/>
      <c r="E174" s="1222"/>
      <c r="F174" s="1222"/>
      <c r="G174" s="1270"/>
      <c r="H174" s="1270"/>
      <c r="I174" s="1270"/>
      <c r="J174" s="1270"/>
      <c r="K174" s="1222"/>
      <c r="L174" s="1336"/>
      <c r="M174" s="1226"/>
      <c r="N174" s="1222"/>
      <c r="O174" s="1222"/>
      <c r="P174" s="1270"/>
      <c r="Q174" s="1270"/>
      <c r="R174" s="1270"/>
      <c r="S174" s="1270"/>
      <c r="T174" s="1336"/>
      <c r="U174" s="1314" t="s">
        <v>1677</v>
      </c>
      <c r="V174" s="1226"/>
      <c r="W174" s="1222"/>
      <c r="X174" s="1222"/>
      <c r="Y174" s="1222"/>
      <c r="Z174" s="1222"/>
      <c r="AA174" s="1222"/>
      <c r="AB174" s="1226"/>
      <c r="AC174" s="1222"/>
      <c r="AD174" s="1222"/>
      <c r="AE174" s="1222"/>
      <c r="AF174" s="1222"/>
      <c r="AG174" s="1222"/>
      <c r="AH174" s="1226"/>
      <c r="AI174" s="1222"/>
      <c r="AJ174" s="1222"/>
      <c r="AK174" s="1222"/>
      <c r="AL174" s="1222"/>
      <c r="AM174" s="1222"/>
      <c r="AN174" s="1222"/>
      <c r="AO174" s="1264">
        <v>310</v>
      </c>
      <c r="AP174" s="1283">
        <v>53.94</v>
      </c>
      <c r="AQ174" s="1221">
        <v>2</v>
      </c>
      <c r="AR174" s="1221">
        <f t="shared" si="28"/>
        <v>14.035</v>
      </c>
      <c r="AS174" s="1221" t="s">
        <v>1568</v>
      </c>
      <c r="AT174" s="1221">
        <f>AVERAGE(AR174:AR181)</f>
        <v>6.4316072916666673</v>
      </c>
      <c r="BJ174" s="95"/>
      <c r="BK174" s="153"/>
      <c r="BL174" s="153"/>
      <c r="BM174" s="153"/>
      <c r="BN174" s="153"/>
      <c r="BO174" s="153"/>
      <c r="BP174" s="153"/>
      <c r="BQ174" s="153"/>
      <c r="BR174" s="153"/>
      <c r="BS174" s="153"/>
      <c r="BT174" s="153"/>
      <c r="BU174" s="95"/>
      <c r="BV174" s="95"/>
      <c r="BW174" s="95"/>
      <c r="BX174" s="95"/>
      <c r="BY174" s="95"/>
      <c r="BZ174" s="95"/>
    </row>
    <row r="175" spans="1:78" s="1221" customFormat="1">
      <c r="A175" s="2469"/>
      <c r="B175" s="1226"/>
      <c r="C175" s="1223"/>
      <c r="D175" s="1223"/>
      <c r="E175" s="1222"/>
      <c r="F175" s="1222"/>
      <c r="G175" s="1270"/>
      <c r="H175" s="1270"/>
      <c r="I175" s="1270"/>
      <c r="J175" s="1270"/>
      <c r="K175" s="1222"/>
      <c r="L175" s="1336"/>
      <c r="M175" s="1226"/>
      <c r="N175" s="1222"/>
      <c r="O175" s="1222"/>
      <c r="P175" s="1270"/>
      <c r="Q175" s="1270"/>
      <c r="R175" s="1270"/>
      <c r="S175" s="1270"/>
      <c r="T175" s="1336"/>
      <c r="U175" s="1314" t="s">
        <v>1678</v>
      </c>
      <c r="V175" s="1226"/>
      <c r="W175" s="1222"/>
      <c r="X175" s="1222"/>
      <c r="Y175" s="1222"/>
      <c r="Z175" s="1222"/>
      <c r="AA175" s="1222"/>
      <c r="AB175" s="1226"/>
      <c r="AC175" s="1222"/>
      <c r="AD175" s="1222"/>
      <c r="AE175" s="1222"/>
      <c r="AF175" s="1222"/>
      <c r="AG175" s="1222"/>
      <c r="AH175" s="1226"/>
      <c r="AI175" s="1222"/>
      <c r="AJ175" s="1222"/>
      <c r="AK175" s="1222"/>
      <c r="AL175" s="1222"/>
      <c r="AM175" s="1222"/>
      <c r="AN175" s="1222"/>
      <c r="AO175" s="1264">
        <v>340</v>
      </c>
      <c r="AP175" s="1283">
        <v>53.94</v>
      </c>
      <c r="AQ175" s="1221">
        <v>5</v>
      </c>
      <c r="AR175" s="1221">
        <f t="shared" si="28"/>
        <v>5.6139999999999999</v>
      </c>
      <c r="AS175" s="1221" t="s">
        <v>1569</v>
      </c>
      <c r="AT175" s="1221">
        <f>STDEV(AR174:AR181)</f>
        <v>3.3054466552679638</v>
      </c>
      <c r="BJ175" s="95"/>
      <c r="BK175" s="153"/>
      <c r="BL175" s="153"/>
      <c r="BM175" s="153"/>
      <c r="BN175" s="153"/>
      <c r="BO175" s="153"/>
      <c r="BP175" s="153"/>
      <c r="BQ175" s="153"/>
      <c r="BR175" s="153"/>
      <c r="BS175" s="153"/>
      <c r="BT175" s="153"/>
      <c r="BU175" s="95"/>
      <c r="BV175" s="95"/>
      <c r="BW175" s="95"/>
      <c r="BX175" s="95"/>
      <c r="BY175" s="95"/>
      <c r="BZ175" s="95"/>
    </row>
    <row r="176" spans="1:78" s="1221" customFormat="1">
      <c r="A176" s="2469"/>
      <c r="B176" s="1226"/>
      <c r="C176" s="1223"/>
      <c r="D176" s="1223"/>
      <c r="E176" s="1222"/>
      <c r="F176" s="1222"/>
      <c r="G176" s="1270"/>
      <c r="H176" s="1270"/>
      <c r="I176" s="1270"/>
      <c r="J176" s="1270"/>
      <c r="K176" s="1222"/>
      <c r="L176" s="1336"/>
      <c r="M176" s="1226"/>
      <c r="N176" s="1222"/>
      <c r="O176" s="1222"/>
      <c r="P176" s="1270"/>
      <c r="Q176" s="1270"/>
      <c r="R176" s="1270"/>
      <c r="S176" s="1270"/>
      <c r="T176" s="1336"/>
      <c r="U176" s="1314" t="s">
        <v>1679</v>
      </c>
      <c r="V176" s="1226"/>
      <c r="W176" s="1222"/>
      <c r="X176" s="1222"/>
      <c r="Y176" s="1222"/>
      <c r="Z176" s="1222"/>
      <c r="AA176" s="1222"/>
      <c r="AB176" s="1226"/>
      <c r="AC176" s="1222"/>
      <c r="AD176" s="1222"/>
      <c r="AE176" s="1222"/>
      <c r="AF176" s="1222"/>
      <c r="AG176" s="1222"/>
      <c r="AH176" s="1226"/>
      <c r="AI176" s="1222"/>
      <c r="AJ176" s="1222"/>
      <c r="AK176" s="1222"/>
      <c r="AL176" s="1222"/>
      <c r="AM176" s="1222"/>
      <c r="AN176" s="1222"/>
      <c r="AO176" s="1264">
        <v>372</v>
      </c>
      <c r="AP176" s="1283">
        <v>53.94</v>
      </c>
      <c r="AQ176" s="1221">
        <v>6</v>
      </c>
      <c r="AR176" s="1221">
        <f t="shared" si="28"/>
        <v>6.3341666666666674</v>
      </c>
      <c r="BJ176" s="95"/>
      <c r="BK176" s="153"/>
      <c r="BL176" s="153"/>
      <c r="BM176" s="153"/>
      <c r="BN176" s="153"/>
      <c r="BO176" s="153"/>
      <c r="BP176" s="153"/>
      <c r="BQ176" s="153"/>
      <c r="BR176" s="153"/>
      <c r="BS176" s="153"/>
      <c r="BT176" s="153"/>
      <c r="BU176" s="95"/>
      <c r="BV176" s="95"/>
      <c r="BW176" s="95"/>
      <c r="BX176" s="95"/>
      <c r="BY176" s="95"/>
      <c r="BZ176" s="95"/>
    </row>
    <row r="177" spans="1:78" s="1221" customFormat="1">
      <c r="A177" s="2469"/>
      <c r="B177" s="1226"/>
      <c r="C177" s="1223"/>
      <c r="D177" s="1223"/>
      <c r="E177" s="1222"/>
      <c r="F177" s="1222"/>
      <c r="G177" s="1270"/>
      <c r="H177" s="1270"/>
      <c r="I177" s="1270"/>
      <c r="J177" s="1270"/>
      <c r="K177" s="1222"/>
      <c r="L177" s="1336"/>
      <c r="M177" s="1226"/>
      <c r="N177" s="1222"/>
      <c r="O177" s="1222"/>
      <c r="P177" s="1270"/>
      <c r="Q177" s="1270"/>
      <c r="R177" s="1270"/>
      <c r="S177" s="1270"/>
      <c r="T177" s="1336"/>
      <c r="U177" s="1314" t="s">
        <v>1680</v>
      </c>
      <c r="V177" s="1226"/>
      <c r="W177" s="1222"/>
      <c r="X177" s="1222"/>
      <c r="Y177" s="1222"/>
      <c r="Z177" s="1222"/>
      <c r="AA177" s="1222"/>
      <c r="AB177" s="1226"/>
      <c r="AC177" s="1222"/>
      <c r="AD177" s="1222"/>
      <c r="AE177" s="1222"/>
      <c r="AF177" s="1222"/>
      <c r="AG177" s="1222"/>
      <c r="AH177" s="1226"/>
      <c r="AI177" s="1222"/>
      <c r="AJ177" s="1222"/>
      <c r="AK177" s="1222"/>
      <c r="AL177" s="1222"/>
      <c r="AM177" s="1222"/>
      <c r="AN177" s="1222"/>
      <c r="AO177" s="1264">
        <v>395</v>
      </c>
      <c r="AP177" s="1283">
        <v>53.94</v>
      </c>
      <c r="AQ177" s="1221">
        <v>8</v>
      </c>
      <c r="AR177" s="1221">
        <f t="shared" si="28"/>
        <v>6.5146249999999997</v>
      </c>
      <c r="BJ177" s="95"/>
      <c r="BK177" s="153"/>
      <c r="BL177" s="153"/>
      <c r="BM177" s="153"/>
      <c r="BN177" s="153"/>
      <c r="BO177" s="153"/>
      <c r="BP177" s="153"/>
      <c r="BQ177" s="153"/>
      <c r="BR177" s="153"/>
      <c r="BS177" s="153"/>
      <c r="BT177" s="153"/>
      <c r="BU177" s="95"/>
      <c r="BV177" s="95"/>
      <c r="BW177" s="95"/>
      <c r="BX177" s="95"/>
      <c r="BY177" s="95"/>
      <c r="BZ177" s="95"/>
    </row>
    <row r="178" spans="1:78" s="1221" customFormat="1">
      <c r="A178" s="2469"/>
      <c r="B178" s="1226"/>
      <c r="C178" s="1223"/>
      <c r="D178" s="1223"/>
      <c r="E178" s="1222"/>
      <c r="F178" s="1222"/>
      <c r="G178" s="1270"/>
      <c r="H178" s="1270"/>
      <c r="I178" s="1270"/>
      <c r="J178" s="1270"/>
      <c r="K178" s="1222"/>
      <c r="L178" s="1336"/>
      <c r="M178" s="1226"/>
      <c r="N178" s="1222"/>
      <c r="O178" s="1222"/>
      <c r="P178" s="1270"/>
      <c r="Q178" s="1270"/>
      <c r="R178" s="1270"/>
      <c r="S178" s="1270"/>
      <c r="T178" s="1336"/>
      <c r="U178" s="1314" t="s">
        <v>1681</v>
      </c>
      <c r="V178" s="1226"/>
      <c r="W178" s="1222"/>
      <c r="X178" s="1222"/>
      <c r="Y178" s="1222"/>
      <c r="Z178" s="1222"/>
      <c r="AA178" s="1222"/>
      <c r="AB178" s="1226"/>
      <c r="AC178" s="1222"/>
      <c r="AD178" s="1222"/>
      <c r="AE178" s="1222"/>
      <c r="AF178" s="1222"/>
      <c r="AG178" s="1222"/>
      <c r="AH178" s="1226"/>
      <c r="AI178" s="1222"/>
      <c r="AJ178" s="1222"/>
      <c r="AK178" s="1222"/>
      <c r="AL178" s="1222"/>
      <c r="AM178" s="1222"/>
      <c r="AN178" s="1222"/>
      <c r="AO178" s="1264">
        <v>421</v>
      </c>
      <c r="AP178" s="1283">
        <v>53.94</v>
      </c>
      <c r="AQ178" s="1221">
        <v>10</v>
      </c>
      <c r="AR178" s="1221">
        <f t="shared" si="28"/>
        <v>6.7039</v>
      </c>
      <c r="BJ178" s="95"/>
      <c r="BK178" s="153"/>
      <c r="BL178" s="153"/>
      <c r="BM178" s="153"/>
      <c r="BN178" s="153"/>
      <c r="BO178" s="153"/>
      <c r="BP178" s="153"/>
      <c r="BQ178" s="153"/>
      <c r="BR178" s="153"/>
      <c r="BS178" s="153"/>
      <c r="BT178" s="153"/>
      <c r="BU178" s="95"/>
      <c r="BV178" s="95"/>
      <c r="BW178" s="95"/>
      <c r="BX178" s="95"/>
      <c r="BY178" s="95"/>
      <c r="BZ178" s="95"/>
    </row>
    <row r="179" spans="1:78" s="1221" customFormat="1">
      <c r="A179" s="2469"/>
      <c r="B179" s="1226"/>
      <c r="C179" s="1223"/>
      <c r="D179" s="1223"/>
      <c r="E179" s="1222"/>
      <c r="F179" s="1222"/>
      <c r="G179" s="1270"/>
      <c r="H179" s="1270"/>
      <c r="I179" s="1270"/>
      <c r="J179" s="1270"/>
      <c r="K179" s="1222"/>
      <c r="L179" s="1336"/>
      <c r="M179" s="1226"/>
      <c r="N179" s="1222"/>
      <c r="O179" s="1222"/>
      <c r="P179" s="1270"/>
      <c r="Q179" s="1270"/>
      <c r="R179" s="1270"/>
      <c r="S179" s="1270"/>
      <c r="T179" s="1336"/>
      <c r="U179" s="1314" t="s">
        <v>1682</v>
      </c>
      <c r="V179" s="1226"/>
      <c r="W179" s="1222"/>
      <c r="X179" s="1222"/>
      <c r="Y179" s="1222"/>
      <c r="Z179" s="1222"/>
      <c r="AA179" s="1222"/>
      <c r="AB179" s="1226"/>
      <c r="AC179" s="1222"/>
      <c r="AD179" s="1222"/>
      <c r="AE179" s="1222"/>
      <c r="AF179" s="1222"/>
      <c r="AG179" s="1222"/>
      <c r="AH179" s="1226"/>
      <c r="AI179" s="1222"/>
      <c r="AJ179" s="1222"/>
      <c r="AK179" s="1222"/>
      <c r="AL179" s="1222"/>
      <c r="AM179" s="1222"/>
      <c r="AN179" s="1222"/>
      <c r="AO179" s="1264">
        <v>438</v>
      </c>
      <c r="AP179" s="1283">
        <v>53.94</v>
      </c>
      <c r="AQ179" s="1221">
        <v>15</v>
      </c>
      <c r="AR179" s="1221">
        <f t="shared" si="28"/>
        <v>4.8484666666666669</v>
      </c>
      <c r="BJ179" s="95"/>
      <c r="BK179" s="153"/>
      <c r="BL179" s="153"/>
      <c r="BM179" s="153"/>
      <c r="BN179" s="153"/>
      <c r="BO179" s="153"/>
      <c r="BP179" s="153"/>
      <c r="BQ179" s="153"/>
      <c r="BR179" s="153"/>
      <c r="BS179" s="153"/>
      <c r="BT179" s="153"/>
      <c r="BU179" s="95"/>
      <c r="BV179" s="95"/>
      <c r="BW179" s="95"/>
      <c r="BX179" s="95"/>
      <c r="BY179" s="95"/>
      <c r="BZ179" s="95"/>
    </row>
    <row r="180" spans="1:78" s="1221" customFormat="1">
      <c r="A180" s="2469"/>
      <c r="B180" s="1226"/>
      <c r="C180" s="1223"/>
      <c r="D180" s="1223"/>
      <c r="E180" s="1222"/>
      <c r="F180" s="1222"/>
      <c r="G180" s="1270"/>
      <c r="H180" s="1270"/>
      <c r="I180" s="1270"/>
      <c r="J180" s="1270"/>
      <c r="K180" s="1222"/>
      <c r="L180" s="1336"/>
      <c r="M180" s="1226"/>
      <c r="N180" s="1222"/>
      <c r="O180" s="1222"/>
      <c r="P180" s="1270"/>
      <c r="Q180" s="1270"/>
      <c r="R180" s="1270"/>
      <c r="S180" s="1270"/>
      <c r="T180" s="1336"/>
      <c r="U180" s="1314" t="s">
        <v>1683</v>
      </c>
      <c r="V180" s="1226"/>
      <c r="W180" s="1222"/>
      <c r="X180" s="1222"/>
      <c r="Y180" s="1222"/>
      <c r="Z180" s="1222"/>
      <c r="AA180" s="1222"/>
      <c r="AB180" s="1226"/>
      <c r="AC180" s="1222"/>
      <c r="AD180" s="1222"/>
      <c r="AE180" s="1222"/>
      <c r="AF180" s="1222"/>
      <c r="AG180" s="1222"/>
      <c r="AH180" s="1226"/>
      <c r="AI180" s="1222"/>
      <c r="AJ180" s="1222"/>
      <c r="AK180" s="1222"/>
      <c r="AL180" s="1222"/>
      <c r="AM180" s="1222"/>
      <c r="AN180" s="1222"/>
      <c r="AO180" s="1264">
        <v>457</v>
      </c>
      <c r="AP180" s="1283">
        <v>53.94</v>
      </c>
      <c r="AQ180" s="1221">
        <v>20</v>
      </c>
      <c r="AR180" s="1221">
        <f t="shared" si="28"/>
        <v>4.1994999999999996</v>
      </c>
      <c r="BJ180" s="95"/>
      <c r="BK180" s="153"/>
      <c r="BL180" s="153"/>
      <c r="BM180" s="153"/>
      <c r="BN180" s="153"/>
      <c r="BO180" s="153"/>
      <c r="BP180" s="153"/>
      <c r="BQ180" s="153"/>
      <c r="BR180" s="153"/>
      <c r="BS180" s="153"/>
      <c r="BT180" s="153"/>
      <c r="BU180" s="95"/>
      <c r="BV180" s="95"/>
      <c r="BW180" s="95"/>
      <c r="BX180" s="95"/>
      <c r="BY180" s="95"/>
      <c r="BZ180" s="95"/>
    </row>
    <row r="181" spans="1:78" s="1221" customFormat="1">
      <c r="A181" s="2469"/>
      <c r="B181" s="1226"/>
      <c r="C181" s="1223"/>
      <c r="D181" s="1223"/>
      <c r="E181" s="1222"/>
      <c r="F181" s="1222"/>
      <c r="G181" s="1270"/>
      <c r="H181" s="1270"/>
      <c r="I181" s="1270"/>
      <c r="J181" s="1270"/>
      <c r="K181" s="1222"/>
      <c r="L181" s="1336"/>
      <c r="M181" s="1226"/>
      <c r="N181" s="1222"/>
      <c r="O181" s="1222"/>
      <c r="P181" s="1270"/>
      <c r="Q181" s="1270"/>
      <c r="R181" s="1270"/>
      <c r="S181" s="1270"/>
      <c r="T181" s="1336"/>
      <c r="U181" s="1314" t="s">
        <v>1684</v>
      </c>
      <c r="V181" s="1226"/>
      <c r="W181" s="1222"/>
      <c r="X181" s="1222"/>
      <c r="Y181" s="1222"/>
      <c r="Z181" s="1222"/>
      <c r="AA181" s="1222"/>
      <c r="AB181" s="1226"/>
      <c r="AC181" s="1222"/>
      <c r="AD181" s="1222"/>
      <c r="AE181" s="1222"/>
      <c r="AF181" s="1222"/>
      <c r="AG181" s="1222"/>
      <c r="AH181" s="1226"/>
      <c r="AI181" s="1222"/>
      <c r="AJ181" s="1222"/>
      <c r="AK181" s="1222"/>
      <c r="AL181" s="1222"/>
      <c r="AM181" s="1222"/>
      <c r="AN181" s="1222"/>
      <c r="AO181" s="1264">
        <v>492</v>
      </c>
      <c r="AP181" s="1283">
        <v>53.94</v>
      </c>
      <c r="AQ181" s="1221">
        <v>30</v>
      </c>
      <c r="AR181" s="1221">
        <f t="shared" si="28"/>
        <v>3.2032000000000003</v>
      </c>
      <c r="BJ181" s="95"/>
      <c r="BK181" s="153"/>
      <c r="BL181" s="153"/>
      <c r="BM181" s="153"/>
      <c r="BN181" s="153"/>
      <c r="BO181" s="153"/>
      <c r="BP181" s="153"/>
      <c r="BQ181" s="153"/>
      <c r="BR181" s="153"/>
      <c r="BS181" s="153"/>
      <c r="BT181" s="153"/>
      <c r="BU181" s="95"/>
      <c r="BV181" s="95"/>
      <c r="BW181" s="95"/>
      <c r="BX181" s="95"/>
      <c r="BY181" s="95"/>
      <c r="BZ181" s="95"/>
    </row>
    <row r="182" spans="1:78" s="1221" customFormat="1" ht="15" thickBot="1">
      <c r="A182" s="2470"/>
      <c r="B182" s="1226"/>
      <c r="C182" s="1223"/>
      <c r="D182" s="1223"/>
      <c r="E182" s="1222"/>
      <c r="F182" s="1222"/>
      <c r="G182" s="1270"/>
      <c r="H182" s="1270"/>
      <c r="I182" s="1270"/>
      <c r="J182" s="1270"/>
      <c r="K182" s="1222"/>
      <c r="L182" s="1336"/>
      <c r="M182" s="1226"/>
      <c r="N182" s="1222"/>
      <c r="O182" s="1222"/>
      <c r="P182" s="1270"/>
      <c r="Q182" s="1270"/>
      <c r="R182" s="1270"/>
      <c r="S182" s="1270"/>
      <c r="T182" s="1336"/>
      <c r="U182" s="1314" t="s">
        <v>1685</v>
      </c>
      <c r="V182" s="1226"/>
      <c r="W182" s="1222"/>
      <c r="X182" s="1222"/>
      <c r="Y182" s="1222"/>
      <c r="Z182" s="1222"/>
      <c r="AA182" s="1222"/>
      <c r="AB182" s="1226"/>
      <c r="AC182" s="1222"/>
      <c r="AD182" s="1222"/>
      <c r="AE182" s="1222"/>
      <c r="AF182" s="1222"/>
      <c r="AG182" s="1222"/>
      <c r="AH182" s="1226"/>
      <c r="AI182" s="1222"/>
      <c r="AJ182" s="1222"/>
      <c r="AK182" s="1222"/>
      <c r="AL182" s="1222"/>
      <c r="AM182" s="1222"/>
      <c r="AN182" s="1222"/>
      <c r="AO182" s="1264">
        <v>524</v>
      </c>
      <c r="AP182" s="1283">
        <v>53.94</v>
      </c>
      <c r="AQ182" s="1221">
        <v>400</v>
      </c>
      <c r="AR182" s="1221">
        <f t="shared" si="28"/>
        <v>0.70750000000000002</v>
      </c>
      <c r="AS182" s="1221" t="s">
        <v>1568</v>
      </c>
      <c r="AT182" s="1221">
        <f>AVERAGE(AR182:AR191)</f>
        <v>0.36342865079365083</v>
      </c>
      <c r="BJ182" s="95"/>
      <c r="BK182" s="153"/>
      <c r="BL182" s="153"/>
      <c r="BM182" s="153"/>
      <c r="BN182" s="153"/>
      <c r="BO182" s="153"/>
      <c r="BP182" s="153"/>
      <c r="BQ182" s="153"/>
      <c r="BR182" s="153"/>
      <c r="BS182" s="153"/>
      <c r="BT182" s="153"/>
      <c r="BU182" s="95"/>
      <c r="BV182" s="95"/>
      <c r="BW182" s="95"/>
      <c r="BX182" s="95"/>
      <c r="BY182" s="95"/>
      <c r="BZ182" s="95"/>
    </row>
    <row r="183" spans="1:78" s="1221" customFormat="1" ht="18.600000000000001" thickBot="1">
      <c r="A183" s="1272"/>
      <c r="B183" s="1242"/>
      <c r="C183" s="1243"/>
      <c r="D183" s="1243"/>
      <c r="E183" s="1242"/>
      <c r="F183" s="1242"/>
      <c r="G183" s="1244"/>
      <c r="H183" s="1244"/>
      <c r="I183" s="1244"/>
      <c r="J183" s="1244"/>
      <c r="K183" s="1242"/>
      <c r="L183" s="1244"/>
      <c r="M183" s="1245"/>
      <c r="N183" s="1242"/>
      <c r="O183" s="1242"/>
      <c r="P183" s="1244"/>
      <c r="Q183" s="1244"/>
      <c r="R183" s="1244"/>
      <c r="S183" s="1244"/>
      <c r="T183" s="1244"/>
      <c r="U183" s="1245"/>
      <c r="V183" s="1245"/>
      <c r="W183" s="1242"/>
      <c r="X183" s="1242"/>
      <c r="Y183" s="1242"/>
      <c r="Z183" s="1242"/>
      <c r="AA183" s="1242"/>
      <c r="AB183" s="1245"/>
      <c r="AC183" s="1242"/>
      <c r="AD183" s="1242"/>
      <c r="AE183" s="1242"/>
      <c r="AF183" s="1242"/>
      <c r="AG183" s="1242"/>
      <c r="AH183" s="1245"/>
      <c r="AI183" s="1242"/>
      <c r="AJ183" s="1242"/>
      <c r="AK183" s="1242"/>
      <c r="AL183" s="1242"/>
      <c r="AM183" s="1242"/>
      <c r="AN183" s="1242"/>
      <c r="AO183" s="1245"/>
      <c r="AP183" s="1246"/>
      <c r="AQ183" s="1221">
        <v>600</v>
      </c>
      <c r="AR183" s="1221">
        <f t="shared" si="28"/>
        <v>0.51666666666666672</v>
      </c>
      <c r="AS183" s="1221" t="s">
        <v>1569</v>
      </c>
      <c r="AT183" s="1221">
        <f>STDEV(AR182:AR191)</f>
        <v>0.15214482090204656</v>
      </c>
      <c r="BJ183" s="95"/>
      <c r="BK183" s="153"/>
      <c r="BL183" s="153"/>
      <c r="BM183" s="153"/>
      <c r="BN183" s="153"/>
      <c r="BO183" s="153"/>
      <c r="BP183" s="153"/>
      <c r="BQ183" s="153"/>
      <c r="BR183" s="153"/>
      <c r="BS183" s="153"/>
      <c r="BT183" s="153"/>
      <c r="BU183" s="95"/>
      <c r="BV183" s="95"/>
      <c r="BW183" s="95"/>
      <c r="BX183" s="95"/>
      <c r="BY183" s="95"/>
      <c r="BZ183" s="95"/>
    </row>
    <row r="184" spans="1:78" s="1221" customFormat="1">
      <c r="A184" s="2479" t="s">
        <v>1247</v>
      </c>
      <c r="B184" s="1261" t="s">
        <v>1686</v>
      </c>
      <c r="C184" s="1255" t="s">
        <v>1505</v>
      </c>
      <c r="D184" s="1314" t="s">
        <v>1495</v>
      </c>
      <c r="E184" s="1274">
        <f>AVERAGE(V184,AB184)/300</f>
        <v>0.60499999999999998</v>
      </c>
      <c r="F184" s="1316"/>
      <c r="G184" s="2484">
        <f>AVERAGE(W184:W186,AC184:AC186)*BS7</f>
        <v>71.296257089267755</v>
      </c>
      <c r="H184" s="1378">
        <f>E184*$G$184</f>
        <v>43.134235539006987</v>
      </c>
      <c r="I184" s="1258">
        <f>(SUM(Y184,AE184,AA184,AG184)/2)/300</f>
        <v>155.01626666666667</v>
      </c>
      <c r="J184" s="1379">
        <f>AVERAGE(Z184,AF184)</f>
        <v>2750</v>
      </c>
      <c r="K184" s="2487">
        <v>0.25</v>
      </c>
      <c r="L184" s="1322">
        <f>(($G$184*E184)+I184)*(1+$K$184)</f>
        <v>247.68812775709208</v>
      </c>
      <c r="M184" s="1282" t="s">
        <v>1652</v>
      </c>
      <c r="N184" s="1257" t="s">
        <v>1653</v>
      </c>
      <c r="O184" s="1370">
        <f>AT196</f>
        <v>0.36342865079365083</v>
      </c>
      <c r="P184" s="1260">
        <f>AP187*BQ22</f>
        <v>62.46494892885444</v>
      </c>
      <c r="Q184" s="1260">
        <f>P184*O184</f>
        <v>22.701552111107873</v>
      </c>
      <c r="R184" s="1259"/>
      <c r="S184" s="1259"/>
      <c r="T184" s="1383">
        <f>Q184</f>
        <v>22.701552111107873</v>
      </c>
      <c r="U184" s="1255" t="s">
        <v>1626</v>
      </c>
      <c r="V184" s="1282">
        <v>174</v>
      </c>
      <c r="W184" s="1365">
        <v>108</v>
      </c>
      <c r="X184" s="1365">
        <v>18872</v>
      </c>
      <c r="Y184" s="1365">
        <v>15461</v>
      </c>
      <c r="Z184" s="1365">
        <v>4000</v>
      </c>
      <c r="AA184" s="1366">
        <v>51141</v>
      </c>
      <c r="AB184" s="1282">
        <v>189</v>
      </c>
      <c r="AC184" s="1365">
        <v>98</v>
      </c>
      <c r="AD184" s="1365">
        <v>18439</v>
      </c>
      <c r="AE184" s="1365">
        <v>21807.759999999998</v>
      </c>
      <c r="AF184" s="1365">
        <v>1500</v>
      </c>
      <c r="AG184" s="1366">
        <v>4600</v>
      </c>
      <c r="AH184" s="1310"/>
      <c r="AI184" s="1311"/>
      <c r="AJ184" s="1311"/>
      <c r="AK184" s="1311"/>
      <c r="AL184" s="1311"/>
      <c r="AM184" s="1311"/>
      <c r="AN184" s="1311"/>
      <c r="AO184" s="1310"/>
      <c r="AP184" s="1312"/>
      <c r="AQ184" s="1221">
        <v>800</v>
      </c>
      <c r="AR184" s="1221">
        <f t="shared" si="28"/>
        <v>0.42499999999999999</v>
      </c>
      <c r="BJ184" s="95"/>
      <c r="BK184" s="153"/>
      <c r="BL184" s="153"/>
      <c r="BM184" s="153"/>
      <c r="BN184" s="153"/>
      <c r="BO184" s="153"/>
      <c r="BP184" s="153"/>
      <c r="BQ184" s="153"/>
      <c r="BR184" s="153"/>
      <c r="BS184" s="153"/>
      <c r="BT184" s="153"/>
      <c r="BU184" s="95"/>
      <c r="BV184" s="95"/>
      <c r="BW184" s="95"/>
      <c r="BX184" s="95"/>
      <c r="BY184" s="95"/>
      <c r="BZ184" s="95"/>
    </row>
    <row r="185" spans="1:78" s="1221" customFormat="1">
      <c r="A185" s="2480"/>
      <c r="B185" s="1261" t="s">
        <v>1663</v>
      </c>
      <c r="C185" s="1255" t="s">
        <v>1505</v>
      </c>
      <c r="D185" s="1314" t="s">
        <v>1495</v>
      </c>
      <c r="E185" s="1274">
        <f>AVERAGE(V185,AB185)/300</f>
        <v>0.74</v>
      </c>
      <c r="F185" s="1316"/>
      <c r="G185" s="2485"/>
      <c r="H185" s="1378">
        <f>E185*$G$184</f>
        <v>52.759230246058138</v>
      </c>
      <c r="I185" s="1258">
        <f>(SUM(Y185,AE185,AA185,AG185)/2)/300</f>
        <v>159.11658333333332</v>
      </c>
      <c r="J185" s="1379">
        <f>AVERAGE(Z185,AF185)</f>
        <v>6250</v>
      </c>
      <c r="K185" s="2488"/>
      <c r="L185" s="1322">
        <f>(($G$184*E185)+I185)*(1+$K$184)</f>
        <v>264.84476697423935</v>
      </c>
      <c r="M185" s="1264" t="s">
        <v>1659</v>
      </c>
      <c r="N185" s="1309"/>
      <c r="O185" s="1381" t="s">
        <v>1660</v>
      </c>
      <c r="P185" s="1260">
        <v>67.88</v>
      </c>
      <c r="Q185" s="1382" t="s">
        <v>1661</v>
      </c>
      <c r="R185" s="1259"/>
      <c r="S185" s="1259"/>
      <c r="T185" s="1383" t="str">
        <f>Q185</f>
        <v>$83.49 - 95.71</v>
      </c>
      <c r="U185" s="1255" t="s">
        <v>1664</v>
      </c>
      <c r="V185" s="1282">
        <v>212</v>
      </c>
      <c r="W185" s="1365">
        <v>108</v>
      </c>
      <c r="X185" s="1365">
        <v>22960</v>
      </c>
      <c r="Y185" s="1365">
        <v>15161</v>
      </c>
      <c r="Z185" s="1365">
        <v>7500</v>
      </c>
      <c r="AA185" s="1366">
        <v>53313</v>
      </c>
      <c r="AB185" s="1282">
        <v>232</v>
      </c>
      <c r="AC185" s="1365">
        <v>98</v>
      </c>
      <c r="AD185" s="1365">
        <v>22621</v>
      </c>
      <c r="AE185" s="1365">
        <v>21995.95</v>
      </c>
      <c r="AF185" s="1365">
        <v>5000</v>
      </c>
      <c r="AG185" s="1366">
        <v>5000</v>
      </c>
      <c r="AH185" s="1226"/>
      <c r="AI185" s="1222"/>
      <c r="AJ185" s="1222"/>
      <c r="AK185" s="1222"/>
      <c r="AL185" s="1222"/>
      <c r="AM185" s="1222"/>
      <c r="AN185" s="1222"/>
      <c r="AO185" s="1226"/>
      <c r="AP185" s="1253"/>
      <c r="AQ185" s="1221">
        <v>1000</v>
      </c>
      <c r="AR185" s="1221">
        <f t="shared" si="28"/>
        <v>0.372</v>
      </c>
      <c r="BJ185" s="95"/>
      <c r="BK185" s="153"/>
      <c r="BL185" s="153"/>
      <c r="BM185" s="153"/>
      <c r="BN185" s="153"/>
      <c r="BO185" s="153"/>
      <c r="BP185" s="153"/>
      <c r="BQ185" s="153"/>
      <c r="BR185" s="153"/>
      <c r="BS185" s="153"/>
      <c r="BT185" s="153"/>
      <c r="BU185" s="95"/>
      <c r="BV185" s="95"/>
      <c r="BW185" s="95"/>
      <c r="BX185" s="95"/>
      <c r="BY185" s="95"/>
      <c r="BZ185" s="95"/>
    </row>
    <row r="186" spans="1:78" s="1221" customFormat="1">
      <c r="A186" s="2480"/>
      <c r="B186" s="1261" t="s">
        <v>1687</v>
      </c>
      <c r="C186" s="1255" t="s">
        <v>1505</v>
      </c>
      <c r="D186" s="1314" t="s">
        <v>1495</v>
      </c>
      <c r="E186" s="1274">
        <f>AVERAGE(V186,AB186)/300</f>
        <v>0.67333333333333334</v>
      </c>
      <c r="F186" s="1316"/>
      <c r="G186" s="2486"/>
      <c r="H186" s="1378">
        <f>E186*$G$184</f>
        <v>48.006146440106953</v>
      </c>
      <c r="I186" s="1258">
        <f>(SUM(Y186,AE186,AA186,AG186)/2)/300</f>
        <v>157.44235</v>
      </c>
      <c r="J186" s="1379">
        <f>AVERAGE(Z186,AF186)</f>
        <v>4750</v>
      </c>
      <c r="K186" s="2489"/>
      <c r="L186" s="1322">
        <f>(($G$184*E186)+I186)*(1+$K$184)</f>
        <v>256.81062055013371</v>
      </c>
      <c r="M186" s="1226"/>
      <c r="N186" s="1222"/>
      <c r="O186" s="1222"/>
      <c r="P186" s="1270"/>
      <c r="Q186" s="1270"/>
      <c r="R186" s="1270"/>
      <c r="S186" s="1270"/>
      <c r="T186" s="1336"/>
      <c r="U186" s="1255" t="s">
        <v>1632</v>
      </c>
      <c r="V186" s="1282">
        <v>204</v>
      </c>
      <c r="W186" s="1365">
        <v>108</v>
      </c>
      <c r="X186" s="1365">
        <v>22064</v>
      </c>
      <c r="Y186" s="1365">
        <v>15161</v>
      </c>
      <c r="Z186" s="1365">
        <v>5500</v>
      </c>
      <c r="AA186" s="1366">
        <v>52450</v>
      </c>
      <c r="AB186" s="1282">
        <v>200</v>
      </c>
      <c r="AC186" s="1365">
        <v>98</v>
      </c>
      <c r="AD186" s="1365">
        <v>19498</v>
      </c>
      <c r="AE186" s="1365">
        <v>21854.41</v>
      </c>
      <c r="AF186" s="1365">
        <v>4000</v>
      </c>
      <c r="AG186" s="1366">
        <v>5000</v>
      </c>
      <c r="AH186" s="1226"/>
      <c r="AI186" s="1222"/>
      <c r="AJ186" s="1222"/>
      <c r="AK186" s="1222"/>
      <c r="AL186" s="1222"/>
      <c r="AM186" s="1222"/>
      <c r="AN186" s="1222"/>
      <c r="AO186" s="1226"/>
      <c r="AP186" s="1253"/>
      <c r="AQ186" s="1221">
        <v>1200</v>
      </c>
      <c r="AR186" s="1221">
        <f t="shared" si="28"/>
        <v>0.32916666666666666</v>
      </c>
      <c r="BJ186" s="95"/>
      <c r="BK186" s="153"/>
      <c r="BL186" s="153"/>
      <c r="BM186" s="153"/>
      <c r="BN186" s="153"/>
      <c r="BO186" s="153"/>
      <c r="BP186" s="153"/>
      <c r="BQ186" s="153"/>
      <c r="BR186" s="153"/>
      <c r="BS186" s="153"/>
      <c r="BT186" s="153"/>
      <c r="BU186" s="95"/>
      <c r="BV186" s="95"/>
      <c r="BW186" s="95"/>
      <c r="BX186" s="95"/>
      <c r="BY186" s="95"/>
      <c r="BZ186" s="95"/>
    </row>
    <row r="187" spans="1:78" s="1221" customFormat="1">
      <c r="A187" s="2480"/>
      <c r="B187" s="1226"/>
      <c r="C187" s="1223"/>
      <c r="D187" s="1384"/>
      <c r="E187" s="1263"/>
      <c r="F187" s="1263"/>
      <c r="G187" s="1358"/>
      <c r="H187" s="1358"/>
      <c r="I187" s="1358"/>
      <c r="J187" s="1358"/>
      <c r="K187" s="1263"/>
      <c r="L187" s="1327"/>
      <c r="M187" s="1226"/>
      <c r="N187" s="1222"/>
      <c r="O187" s="1222"/>
      <c r="P187" s="1270"/>
      <c r="Q187" s="1270"/>
      <c r="R187" s="1270"/>
      <c r="S187" s="1270"/>
      <c r="T187" s="1336"/>
      <c r="U187" s="1314" t="s">
        <v>1676</v>
      </c>
      <c r="V187" s="1226"/>
      <c r="W187" s="1222"/>
      <c r="X187" s="1222"/>
      <c r="Y187" s="1222"/>
      <c r="Z187" s="1222"/>
      <c r="AA187" s="1222"/>
      <c r="AB187" s="1226"/>
      <c r="AC187" s="1222"/>
      <c r="AD187" s="1222"/>
      <c r="AE187" s="1222"/>
      <c r="AF187" s="1222"/>
      <c r="AG187" s="1222"/>
      <c r="AH187" s="1226"/>
      <c r="AI187" s="1222"/>
      <c r="AJ187" s="1222"/>
      <c r="AK187" s="1222"/>
      <c r="AL187" s="1222"/>
      <c r="AM187" s="1222"/>
      <c r="AN187" s="1222"/>
      <c r="AO187" s="1264">
        <v>283</v>
      </c>
      <c r="AP187" s="1283">
        <v>53.94</v>
      </c>
      <c r="AQ187" s="1221">
        <v>1400</v>
      </c>
      <c r="AR187" s="1221">
        <f t="shared" si="28"/>
        <v>0.30071428571428571</v>
      </c>
      <c r="BJ187" s="95"/>
      <c r="BK187" s="153"/>
      <c r="BL187" s="153"/>
      <c r="BM187" s="153"/>
      <c r="BN187" s="153"/>
      <c r="BO187" s="153"/>
      <c r="BP187" s="153"/>
      <c r="BQ187" s="153"/>
      <c r="BR187" s="153"/>
      <c r="BS187" s="153"/>
      <c r="BT187" s="153"/>
      <c r="BU187" s="95"/>
      <c r="BV187" s="95"/>
      <c r="BW187" s="95"/>
      <c r="BX187" s="95"/>
      <c r="BY187" s="95"/>
      <c r="BZ187" s="95"/>
    </row>
    <row r="188" spans="1:78" s="1221" customFormat="1">
      <c r="A188" s="2480"/>
      <c r="B188" s="1226"/>
      <c r="C188" s="1223"/>
      <c r="D188" s="1223"/>
      <c r="E188" s="1222"/>
      <c r="F188" s="1222"/>
      <c r="G188" s="1270"/>
      <c r="H188" s="1270"/>
      <c r="I188" s="1270"/>
      <c r="J188" s="1270"/>
      <c r="K188" s="1222"/>
      <c r="L188" s="1336"/>
      <c r="M188" s="1226"/>
      <c r="N188" s="1222"/>
      <c r="O188" s="1222"/>
      <c r="P188" s="1270"/>
      <c r="Q188" s="1270"/>
      <c r="R188" s="1270"/>
      <c r="S188" s="1270"/>
      <c r="T188" s="1336"/>
      <c r="U188" s="1314" t="s">
        <v>1677</v>
      </c>
      <c r="V188" s="1226"/>
      <c r="W188" s="1222"/>
      <c r="X188" s="1222"/>
      <c r="Y188" s="1222"/>
      <c r="Z188" s="1222"/>
      <c r="AA188" s="1222"/>
      <c r="AB188" s="1226"/>
      <c r="AC188" s="1222"/>
      <c r="AD188" s="1222"/>
      <c r="AE188" s="1222"/>
      <c r="AF188" s="1222"/>
      <c r="AG188" s="1222"/>
      <c r="AH188" s="1226"/>
      <c r="AI188" s="1222"/>
      <c r="AJ188" s="1222"/>
      <c r="AK188" s="1222"/>
      <c r="AL188" s="1222"/>
      <c r="AM188" s="1222"/>
      <c r="AN188" s="1222"/>
      <c r="AO188" s="1264">
        <v>310</v>
      </c>
      <c r="AP188" s="1283">
        <v>53.94</v>
      </c>
      <c r="AQ188" s="1221">
        <v>1600</v>
      </c>
      <c r="AR188" s="1221">
        <f t="shared" si="28"/>
        <v>0.27374999999999999</v>
      </c>
      <c r="BJ188" s="95"/>
      <c r="BK188" s="153"/>
      <c r="BL188" s="153"/>
      <c r="BM188" s="153"/>
      <c r="BN188" s="153"/>
      <c r="BO188" s="153"/>
      <c r="BP188" s="153"/>
      <c r="BQ188" s="153"/>
      <c r="BR188" s="153"/>
      <c r="BS188" s="153"/>
      <c r="BT188" s="153"/>
      <c r="BU188" s="95"/>
      <c r="BV188" s="95"/>
      <c r="BW188" s="95"/>
      <c r="BX188" s="95"/>
      <c r="BY188" s="95"/>
      <c r="BZ188" s="95"/>
    </row>
    <row r="189" spans="1:78" s="1221" customFormat="1">
      <c r="A189" s="2480"/>
      <c r="B189" s="1226"/>
      <c r="C189" s="1223"/>
      <c r="D189" s="1223"/>
      <c r="E189" s="1222"/>
      <c r="F189" s="1222"/>
      <c r="G189" s="1270"/>
      <c r="H189" s="1270"/>
      <c r="I189" s="1270"/>
      <c r="J189" s="1270"/>
      <c r="K189" s="1222"/>
      <c r="L189" s="1336"/>
      <c r="M189" s="1226"/>
      <c r="N189" s="1222"/>
      <c r="O189" s="1222"/>
      <c r="P189" s="1270"/>
      <c r="Q189" s="1270"/>
      <c r="R189" s="1270"/>
      <c r="S189" s="1270"/>
      <c r="T189" s="1336"/>
      <c r="U189" s="1314" t="s">
        <v>1678</v>
      </c>
      <c r="V189" s="1226"/>
      <c r="W189" s="1222"/>
      <c r="X189" s="1222"/>
      <c r="Y189" s="1222"/>
      <c r="Z189" s="1222"/>
      <c r="AA189" s="1222"/>
      <c r="AB189" s="1226"/>
      <c r="AC189" s="1222"/>
      <c r="AD189" s="1222"/>
      <c r="AE189" s="1222"/>
      <c r="AF189" s="1222"/>
      <c r="AG189" s="1222"/>
      <c r="AH189" s="1226"/>
      <c r="AI189" s="1222"/>
      <c r="AJ189" s="1222"/>
      <c r="AK189" s="1222"/>
      <c r="AL189" s="1222"/>
      <c r="AM189" s="1222"/>
      <c r="AN189" s="1222"/>
      <c r="AO189" s="1264">
        <v>340</v>
      </c>
      <c r="AP189" s="1283">
        <v>53.94</v>
      </c>
      <c r="AQ189" s="1221">
        <v>1800</v>
      </c>
      <c r="AR189" s="1221">
        <f t="shared" si="28"/>
        <v>0.25388888888888889</v>
      </c>
      <c r="BJ189" s="95"/>
      <c r="BK189" s="153"/>
      <c r="BL189" s="153"/>
      <c r="BM189" s="153"/>
      <c r="BN189" s="153"/>
      <c r="BO189" s="153"/>
      <c r="BP189" s="153"/>
      <c r="BQ189" s="153"/>
      <c r="BR189" s="153"/>
      <c r="BS189" s="153"/>
      <c r="BT189" s="153"/>
      <c r="BU189" s="95"/>
      <c r="BV189" s="95"/>
      <c r="BW189" s="95"/>
      <c r="BX189" s="95"/>
      <c r="BY189" s="95"/>
      <c r="BZ189" s="95"/>
    </row>
    <row r="190" spans="1:78" s="1221" customFormat="1">
      <c r="A190" s="2480"/>
      <c r="B190" s="1226"/>
      <c r="C190" s="1223"/>
      <c r="D190" s="1223"/>
      <c r="E190" s="1222"/>
      <c r="F190" s="1222"/>
      <c r="G190" s="1270"/>
      <c r="H190" s="1270"/>
      <c r="I190" s="1270"/>
      <c r="J190" s="1270"/>
      <c r="K190" s="1222"/>
      <c r="L190" s="1336"/>
      <c r="M190" s="1226"/>
      <c r="N190" s="1222"/>
      <c r="O190" s="1222"/>
      <c r="P190" s="1270"/>
      <c r="Q190" s="1270"/>
      <c r="R190" s="1270"/>
      <c r="S190" s="1270"/>
      <c r="T190" s="1336"/>
      <c r="U190" s="1314" t="s">
        <v>1679</v>
      </c>
      <c r="V190" s="1226"/>
      <c r="W190" s="1222"/>
      <c r="X190" s="1222"/>
      <c r="Y190" s="1222"/>
      <c r="Z190" s="1222"/>
      <c r="AA190" s="1222"/>
      <c r="AB190" s="1226"/>
      <c r="AC190" s="1222"/>
      <c r="AD190" s="1222"/>
      <c r="AE190" s="1222"/>
      <c r="AF190" s="1222"/>
      <c r="AG190" s="1222"/>
      <c r="AH190" s="1226"/>
      <c r="AI190" s="1222"/>
      <c r="AJ190" s="1222"/>
      <c r="AK190" s="1222"/>
      <c r="AL190" s="1222"/>
      <c r="AM190" s="1222"/>
      <c r="AN190" s="1222"/>
      <c r="AO190" s="1264">
        <v>372</v>
      </c>
      <c r="AP190" s="1283">
        <v>53.94</v>
      </c>
      <c r="AQ190" s="1221">
        <v>2000</v>
      </c>
      <c r="AR190" s="1221">
        <f t="shared" si="28"/>
        <v>0.246</v>
      </c>
      <c r="BJ190" s="95"/>
      <c r="BK190" s="153"/>
      <c r="BL190" s="153"/>
      <c r="BM190" s="153"/>
      <c r="BN190" s="153"/>
      <c r="BO190" s="153"/>
      <c r="BP190" s="153"/>
      <c r="BQ190" s="153"/>
      <c r="BR190" s="153"/>
      <c r="BS190" s="153"/>
      <c r="BT190" s="153"/>
      <c r="BU190" s="95"/>
      <c r="BV190" s="95"/>
      <c r="BW190" s="95"/>
      <c r="BX190" s="95"/>
      <c r="BY190" s="95"/>
      <c r="BZ190" s="95"/>
    </row>
    <row r="191" spans="1:78" s="1221" customFormat="1">
      <c r="A191" s="2480"/>
      <c r="B191" s="1226"/>
      <c r="C191" s="1223"/>
      <c r="D191" s="1223"/>
      <c r="E191" s="1222"/>
      <c r="F191" s="1222"/>
      <c r="G191" s="1270"/>
      <c r="H191" s="1270"/>
      <c r="I191" s="1270"/>
      <c r="J191" s="1270"/>
      <c r="K191" s="1222"/>
      <c r="L191" s="1336"/>
      <c r="M191" s="1226"/>
      <c r="N191" s="1222"/>
      <c r="O191" s="1222"/>
      <c r="P191" s="1270"/>
      <c r="Q191" s="1270"/>
      <c r="R191" s="1270"/>
      <c r="S191" s="1270"/>
      <c r="T191" s="1336"/>
      <c r="U191" s="1314" t="s">
        <v>1680</v>
      </c>
      <c r="V191" s="1226"/>
      <c r="W191" s="1222"/>
      <c r="X191" s="1222"/>
      <c r="Y191" s="1222"/>
      <c r="Z191" s="1222"/>
      <c r="AA191" s="1222"/>
      <c r="AB191" s="1226"/>
      <c r="AC191" s="1222"/>
      <c r="AD191" s="1222"/>
      <c r="AE191" s="1222"/>
      <c r="AF191" s="1222"/>
      <c r="AG191" s="1222"/>
      <c r="AH191" s="1226"/>
      <c r="AI191" s="1222"/>
      <c r="AJ191" s="1222"/>
      <c r="AK191" s="1222"/>
      <c r="AL191" s="1222"/>
      <c r="AM191" s="1222"/>
      <c r="AN191" s="1222"/>
      <c r="AO191" s="1264">
        <v>395</v>
      </c>
      <c r="AP191" s="1283">
        <v>53.94</v>
      </c>
      <c r="AQ191" s="1221">
        <v>2500</v>
      </c>
      <c r="AR191" s="1221">
        <f t="shared" si="28"/>
        <v>0.20960000000000001</v>
      </c>
      <c r="BJ191" s="95"/>
      <c r="BK191" s="153"/>
      <c r="BL191" s="153"/>
      <c r="BM191" s="153"/>
      <c r="BN191" s="153"/>
      <c r="BO191" s="153"/>
      <c r="BP191" s="153"/>
      <c r="BQ191" s="153"/>
      <c r="BR191" s="153"/>
      <c r="BS191" s="153"/>
      <c r="BT191" s="153"/>
      <c r="BU191" s="95"/>
      <c r="BV191" s="95"/>
      <c r="BW191" s="95"/>
      <c r="BX191" s="95"/>
      <c r="BY191" s="95"/>
      <c r="BZ191" s="95"/>
    </row>
    <row r="192" spans="1:78" s="1221" customFormat="1" ht="7.5" customHeight="1">
      <c r="A192" s="2480"/>
      <c r="B192" s="1226"/>
      <c r="C192" s="1223"/>
      <c r="D192" s="1223"/>
      <c r="E192" s="1222"/>
      <c r="F192" s="1222"/>
      <c r="G192" s="1270"/>
      <c r="H192" s="1270"/>
      <c r="I192" s="1270"/>
      <c r="J192" s="1270"/>
      <c r="K192" s="1222"/>
      <c r="L192" s="1336"/>
      <c r="M192" s="1226"/>
      <c r="N192" s="1222"/>
      <c r="O192" s="1222"/>
      <c r="P192" s="1270"/>
      <c r="Q192" s="1270"/>
      <c r="R192" s="1270"/>
      <c r="S192" s="1270"/>
      <c r="T192" s="1336"/>
      <c r="U192" s="1314" t="s">
        <v>1681</v>
      </c>
      <c r="V192" s="1226"/>
      <c r="W192" s="1222"/>
      <c r="X192" s="1222"/>
      <c r="Y192" s="1222"/>
      <c r="Z192" s="1222"/>
      <c r="AA192" s="1222"/>
      <c r="AB192" s="1226"/>
      <c r="AC192" s="1222"/>
      <c r="AD192" s="1222"/>
      <c r="AE192" s="1222"/>
      <c r="AF192" s="1222"/>
      <c r="AG192" s="1222"/>
      <c r="AH192" s="1226"/>
      <c r="AI192" s="1222"/>
      <c r="AJ192" s="1222"/>
      <c r="AK192" s="1222"/>
      <c r="AL192" s="1222"/>
      <c r="AM192" s="1222"/>
      <c r="AN192" s="1222"/>
      <c r="AO192" s="1264">
        <v>421</v>
      </c>
      <c r="AP192" s="1283">
        <v>53.94</v>
      </c>
      <c r="BJ192" s="95"/>
      <c r="BK192" s="153"/>
      <c r="BL192" s="153"/>
      <c r="BM192" s="153"/>
      <c r="BN192" s="153"/>
      <c r="BO192" s="153"/>
      <c r="BP192" s="153"/>
      <c r="BQ192" s="153"/>
      <c r="BR192" s="153"/>
      <c r="BS192" s="153"/>
      <c r="BT192" s="153"/>
      <c r="BU192" s="95"/>
      <c r="BV192" s="95"/>
      <c r="BW192" s="95"/>
      <c r="BX192" s="95"/>
      <c r="BY192" s="95"/>
      <c r="BZ192" s="95"/>
    </row>
    <row r="193" spans="1:78" s="1221" customFormat="1">
      <c r="A193" s="2480"/>
      <c r="B193" s="1226"/>
      <c r="C193" s="1223"/>
      <c r="D193" s="1223"/>
      <c r="E193" s="1222"/>
      <c r="F193" s="1222"/>
      <c r="G193" s="1270"/>
      <c r="H193" s="1270"/>
      <c r="I193" s="1270"/>
      <c r="J193" s="1270"/>
      <c r="K193" s="1222"/>
      <c r="L193" s="1336"/>
      <c r="M193" s="1226"/>
      <c r="N193" s="1222"/>
      <c r="O193" s="1222"/>
      <c r="P193" s="1270"/>
      <c r="Q193" s="1270"/>
      <c r="R193" s="1270"/>
      <c r="S193" s="1270"/>
      <c r="T193" s="1336"/>
      <c r="U193" s="1314" t="s">
        <v>1682</v>
      </c>
      <c r="V193" s="1226"/>
      <c r="W193" s="1222"/>
      <c r="X193" s="1222"/>
      <c r="Y193" s="1222"/>
      <c r="Z193" s="1222"/>
      <c r="AA193" s="1222"/>
      <c r="AB193" s="1226"/>
      <c r="AC193" s="1222"/>
      <c r="AD193" s="1222"/>
      <c r="AE193" s="1222"/>
      <c r="AF193" s="1222"/>
      <c r="AG193" s="1222"/>
      <c r="AH193" s="1226"/>
      <c r="AI193" s="1222"/>
      <c r="AJ193" s="1222"/>
      <c r="AK193" s="1222"/>
      <c r="AL193" s="1222"/>
      <c r="AM193" s="1222"/>
      <c r="AN193" s="1222"/>
      <c r="AO193" s="1264">
        <v>438</v>
      </c>
      <c r="AP193" s="1283">
        <v>53.94</v>
      </c>
      <c r="BJ193" s="95"/>
      <c r="BK193" s="153"/>
      <c r="BL193" s="153"/>
      <c r="BM193" s="153"/>
      <c r="BN193" s="153"/>
      <c r="BO193" s="153"/>
      <c r="BP193" s="153"/>
      <c r="BQ193" s="153"/>
      <c r="BR193" s="153"/>
      <c r="BS193" s="153"/>
      <c r="BT193" s="153"/>
      <c r="BU193" s="95"/>
      <c r="BV193" s="95"/>
      <c r="BW193" s="95"/>
      <c r="BX193" s="95"/>
      <c r="BY193" s="95"/>
      <c r="BZ193" s="95"/>
    </row>
    <row r="194" spans="1:78" s="1221" customFormat="1" ht="18">
      <c r="A194" s="1293"/>
      <c r="B194" s="1226"/>
      <c r="C194" s="1223"/>
      <c r="D194" s="1223"/>
      <c r="E194" s="1222"/>
      <c r="F194" s="1222"/>
      <c r="G194" s="1270"/>
      <c r="H194" s="1270"/>
      <c r="I194" s="1270"/>
      <c r="J194" s="1270"/>
      <c r="K194" s="1222"/>
      <c r="L194" s="1336"/>
      <c r="M194" s="1226"/>
      <c r="N194" s="1222"/>
      <c r="O194" s="1222"/>
      <c r="P194" s="1270"/>
      <c r="Q194" s="1270"/>
      <c r="R194" s="1270"/>
      <c r="S194" s="1270"/>
      <c r="T194" s="1336"/>
      <c r="U194" s="1314" t="s">
        <v>1683</v>
      </c>
      <c r="V194" s="1226"/>
      <c r="W194" s="1222"/>
      <c r="X194" s="1222"/>
      <c r="Y194" s="1222"/>
      <c r="Z194" s="1222"/>
      <c r="AA194" s="1222"/>
      <c r="AB194" s="1226"/>
      <c r="AC194" s="1222"/>
      <c r="AD194" s="1222"/>
      <c r="AE194" s="1222"/>
      <c r="AF194" s="1222"/>
      <c r="AG194" s="1222"/>
      <c r="AH194" s="1226"/>
      <c r="AI194" s="1222"/>
      <c r="AJ194" s="1222"/>
      <c r="AK194" s="1222"/>
      <c r="AL194" s="1222"/>
      <c r="AM194" s="1222"/>
      <c r="AN194" s="1222"/>
      <c r="AO194" s="1264">
        <v>457</v>
      </c>
      <c r="AP194" s="1283">
        <v>53.94</v>
      </c>
      <c r="BJ194" s="95"/>
      <c r="BK194" s="153"/>
      <c r="BL194" s="153"/>
      <c r="BM194" s="153"/>
      <c r="BN194" s="153"/>
      <c r="BO194" s="153"/>
      <c r="BP194" s="153"/>
      <c r="BQ194" s="153"/>
      <c r="BR194" s="153"/>
      <c r="BS194" s="153"/>
      <c r="BT194" s="153"/>
      <c r="BU194" s="95"/>
      <c r="BV194" s="95"/>
      <c r="BW194" s="95"/>
      <c r="BX194" s="95"/>
      <c r="BY194" s="95"/>
      <c r="BZ194" s="95"/>
    </row>
    <row r="195" spans="1:78" s="1221" customFormat="1" ht="18">
      <c r="A195" s="1293"/>
      <c r="B195" s="1226"/>
      <c r="C195" s="1223"/>
      <c r="D195" s="1223"/>
      <c r="E195" s="1222"/>
      <c r="F195" s="1222"/>
      <c r="G195" s="1270"/>
      <c r="H195" s="1270"/>
      <c r="I195" s="1270"/>
      <c r="J195" s="1270"/>
      <c r="K195" s="1222"/>
      <c r="L195" s="1336"/>
      <c r="M195" s="1226"/>
      <c r="N195" s="1222"/>
      <c r="O195" s="1222"/>
      <c r="P195" s="1270"/>
      <c r="Q195" s="1270"/>
      <c r="R195" s="1270"/>
      <c r="S195" s="1270"/>
      <c r="T195" s="1336"/>
      <c r="U195" s="1314" t="s">
        <v>1684</v>
      </c>
      <c r="V195" s="1226"/>
      <c r="W195" s="1222"/>
      <c r="X195" s="1222"/>
      <c r="Y195" s="1222"/>
      <c r="Z195" s="1222"/>
      <c r="AA195" s="1222"/>
      <c r="AB195" s="1226"/>
      <c r="AC195" s="1222"/>
      <c r="AD195" s="1222"/>
      <c r="AE195" s="1222"/>
      <c r="AF195" s="1222"/>
      <c r="AG195" s="1222"/>
      <c r="AH195" s="1226"/>
      <c r="AI195" s="1222"/>
      <c r="AJ195" s="1222"/>
      <c r="AK195" s="1222"/>
      <c r="AL195" s="1222"/>
      <c r="AM195" s="1222"/>
      <c r="AN195" s="1222"/>
      <c r="AO195" s="1264">
        <v>492</v>
      </c>
      <c r="AP195" s="1283">
        <v>53.94</v>
      </c>
      <c r="BJ195" s="95"/>
      <c r="BK195" s="153"/>
      <c r="BL195" s="153"/>
      <c r="BM195" s="153"/>
      <c r="BN195" s="153"/>
      <c r="BO195" s="153"/>
      <c r="BP195" s="153"/>
      <c r="BQ195" s="153"/>
      <c r="BR195" s="153"/>
      <c r="BS195" s="153"/>
      <c r="BT195" s="153"/>
      <c r="BU195" s="95"/>
      <c r="BV195" s="95"/>
      <c r="BW195" s="95"/>
      <c r="BX195" s="95"/>
      <c r="BY195" s="95"/>
      <c r="BZ195" s="95"/>
    </row>
    <row r="196" spans="1:78" s="1221" customFormat="1" ht="18.600000000000001" thickBot="1">
      <c r="A196" s="1293"/>
      <c r="B196" s="1226"/>
      <c r="C196" s="1223"/>
      <c r="D196" s="1223"/>
      <c r="E196" s="1222"/>
      <c r="F196" s="1222"/>
      <c r="G196" s="1270"/>
      <c r="H196" s="1270"/>
      <c r="I196" s="1270"/>
      <c r="J196" s="1270"/>
      <c r="K196" s="1222"/>
      <c r="L196" s="1336"/>
      <c r="M196" s="1226"/>
      <c r="N196" s="1222"/>
      <c r="O196" s="1222"/>
      <c r="P196" s="1270"/>
      <c r="Q196" s="1270"/>
      <c r="R196" s="1270"/>
      <c r="S196" s="1270"/>
      <c r="T196" s="1336"/>
      <c r="U196" s="1385" t="s">
        <v>1685</v>
      </c>
      <c r="V196" s="1226"/>
      <c r="W196" s="1222"/>
      <c r="X196" s="1222"/>
      <c r="Y196" s="1222"/>
      <c r="Z196" s="1222"/>
      <c r="AA196" s="1222"/>
      <c r="AB196" s="1226"/>
      <c r="AC196" s="1222"/>
      <c r="AD196" s="1222"/>
      <c r="AE196" s="1222"/>
      <c r="AF196" s="1222"/>
      <c r="AG196" s="1222"/>
      <c r="AH196" s="1226"/>
      <c r="AI196" s="1222"/>
      <c r="AJ196" s="1222"/>
      <c r="AK196" s="1222"/>
      <c r="AL196" s="1222"/>
      <c r="AM196" s="1222"/>
      <c r="AN196" s="1222"/>
      <c r="AO196" s="1264">
        <v>524</v>
      </c>
      <c r="AP196" s="1283">
        <v>53.94</v>
      </c>
      <c r="AQ196" s="1221">
        <v>400</v>
      </c>
      <c r="AR196" s="1221">
        <f t="shared" ref="AR196:AR205" si="29">AO187/AQ196</f>
        <v>0.70750000000000002</v>
      </c>
      <c r="AS196" s="1221" t="s">
        <v>1568</v>
      </c>
      <c r="AT196" s="1221">
        <f>AVERAGE(AR196:AR205)</f>
        <v>0.36342865079365083</v>
      </c>
      <c r="BJ196" s="95"/>
      <c r="BK196" s="153"/>
      <c r="BL196" s="153"/>
      <c r="BM196" s="153"/>
      <c r="BN196" s="153"/>
      <c r="BO196" s="153"/>
      <c r="BP196" s="153"/>
      <c r="BQ196" s="153"/>
      <c r="BR196" s="153"/>
      <c r="BS196" s="153"/>
      <c r="BT196" s="153"/>
      <c r="BU196" s="95"/>
      <c r="BV196" s="95"/>
      <c r="BW196" s="95"/>
      <c r="BX196" s="95"/>
      <c r="BY196" s="95"/>
      <c r="BZ196" s="95"/>
    </row>
    <row r="197" spans="1:78" s="1221" customFormat="1" ht="18.600000000000001" thickBot="1">
      <c r="A197" s="1272"/>
      <c r="B197" s="1242"/>
      <c r="C197" s="1243"/>
      <c r="D197" s="1243"/>
      <c r="E197" s="1242"/>
      <c r="F197" s="1242"/>
      <c r="G197" s="1244"/>
      <c r="H197" s="1244"/>
      <c r="I197" s="1244"/>
      <c r="J197" s="1244"/>
      <c r="K197" s="1242"/>
      <c r="L197" s="1244"/>
      <c r="M197" s="1245"/>
      <c r="N197" s="1242"/>
      <c r="O197" s="1242"/>
      <c r="P197" s="1244"/>
      <c r="Q197" s="1244"/>
      <c r="R197" s="1244"/>
      <c r="S197" s="1244"/>
      <c r="T197" s="1244"/>
      <c r="U197" s="1245"/>
      <c r="V197" s="1245"/>
      <c r="W197" s="1242"/>
      <c r="X197" s="1242"/>
      <c r="Y197" s="1242"/>
      <c r="Z197" s="1242"/>
      <c r="AA197" s="1242"/>
      <c r="AB197" s="1245"/>
      <c r="AC197" s="1242"/>
      <c r="AD197" s="1242"/>
      <c r="AE197" s="1242"/>
      <c r="AF197" s="1242"/>
      <c r="AG197" s="1242"/>
      <c r="AH197" s="1245"/>
      <c r="AI197" s="1242"/>
      <c r="AJ197" s="1242"/>
      <c r="AK197" s="1242"/>
      <c r="AL197" s="1242"/>
      <c r="AM197" s="1242"/>
      <c r="AN197" s="1242"/>
      <c r="AO197" s="1245"/>
      <c r="AP197" s="1246"/>
      <c r="AQ197" s="1221">
        <v>600</v>
      </c>
      <c r="AR197" s="1221">
        <f t="shared" si="29"/>
        <v>0.51666666666666672</v>
      </c>
      <c r="AS197" s="1221" t="s">
        <v>1569</v>
      </c>
      <c r="AT197" s="1221">
        <f>STDEV(AR196:AR205)</f>
        <v>0.15214482090204656</v>
      </c>
      <c r="BJ197" s="95"/>
      <c r="BK197" s="153"/>
      <c r="BL197" s="153"/>
      <c r="BM197" s="153"/>
      <c r="BN197" s="153"/>
      <c r="BO197" s="153"/>
      <c r="BP197" s="153"/>
      <c r="BQ197" s="153"/>
      <c r="BR197" s="153"/>
      <c r="BS197" s="153"/>
      <c r="BT197" s="153"/>
      <c r="BU197" s="95"/>
      <c r="BV197" s="95"/>
      <c r="BW197" s="95"/>
      <c r="BX197" s="95"/>
      <c r="BY197" s="95"/>
      <c r="BZ197" s="95"/>
    </row>
    <row r="198" spans="1:78" s="1221" customFormat="1">
      <c r="A198" s="2479" t="s">
        <v>548</v>
      </c>
      <c r="B198" s="1297" t="s">
        <v>1570</v>
      </c>
      <c r="C198" s="1298" t="s">
        <v>1505</v>
      </c>
      <c r="D198" s="1298" t="s">
        <v>1490</v>
      </c>
      <c r="E198" s="1299">
        <f>SUM(AH199:AH202)/5</f>
        <v>6.2707664467070101</v>
      </c>
      <c r="F198" s="1386"/>
      <c r="G198" s="1301"/>
      <c r="H198" s="1387">
        <f>E198*G199</f>
        <v>443.82672398798883</v>
      </c>
      <c r="I198" s="1258">
        <f>AL201/5</f>
        <v>11.746917185196114</v>
      </c>
      <c r="J198" s="1301">
        <f>AL198</f>
        <v>598.37801194433382</v>
      </c>
      <c r="K198" s="2488">
        <v>0.27500000000000002</v>
      </c>
      <c r="L198" s="2477">
        <f>((E198*G199)+I198+I199)*(1+K198)</f>
        <v>997.73889249581089</v>
      </c>
      <c r="M198" s="1319" t="s">
        <v>1433</v>
      </c>
      <c r="N198" s="1309" t="s">
        <v>1573</v>
      </c>
      <c r="O198" s="1367">
        <f>AT212</f>
        <v>4.0198695238095237</v>
      </c>
      <c r="P198" s="1301">
        <f>AP203*BQ22</f>
        <v>59.037135639469774</v>
      </c>
      <c r="Q198" s="1301">
        <f>O198*P198</f>
        <v>237.32158233011361</v>
      </c>
      <c r="R198" s="1259"/>
      <c r="S198" s="1259"/>
      <c r="T198" s="1276">
        <f>Q198</f>
        <v>237.32158233011361</v>
      </c>
      <c r="U198" s="1314" t="s">
        <v>1496</v>
      </c>
      <c r="V198" s="1226"/>
      <c r="W198" s="1222"/>
      <c r="X198" s="1222"/>
      <c r="Y198" s="1222"/>
      <c r="Z198" s="1222"/>
      <c r="AA198" s="1222"/>
      <c r="AB198" s="1226"/>
      <c r="AC198" s="1222"/>
      <c r="AD198" s="1222"/>
      <c r="AE198" s="1222"/>
      <c r="AF198" s="1222"/>
      <c r="AG198" s="1222"/>
      <c r="AH198" s="1328"/>
      <c r="AI198" s="1318"/>
      <c r="AJ198" s="1309"/>
      <c r="AK198" s="1309"/>
      <c r="AL198" s="1320">
        <v>598.37801194433382</v>
      </c>
      <c r="AM198" s="1320">
        <v>83.262110419695929</v>
      </c>
      <c r="AN198" s="1321">
        <v>37</v>
      </c>
      <c r="AO198" s="1226"/>
      <c r="AP198" s="1253"/>
      <c r="AQ198" s="1221">
        <v>800</v>
      </c>
      <c r="AR198" s="1221">
        <f t="shared" si="29"/>
        <v>0.42499999999999999</v>
      </c>
      <c r="BJ198" s="95"/>
      <c r="BK198" s="153"/>
      <c r="BL198" s="153"/>
      <c r="BM198" s="153"/>
      <c r="BN198" s="153"/>
      <c r="BO198" s="153"/>
      <c r="BP198" s="153"/>
      <c r="BQ198" s="153"/>
      <c r="BR198" s="153"/>
      <c r="BS198" s="153"/>
      <c r="BT198" s="153"/>
      <c r="BU198" s="95"/>
      <c r="BV198" s="95"/>
      <c r="BW198" s="95"/>
      <c r="BX198" s="95"/>
      <c r="BY198" s="95"/>
      <c r="BZ198" s="95"/>
    </row>
    <row r="199" spans="1:78" s="1221" customFormat="1">
      <c r="A199" s="2480"/>
      <c r="B199" s="1313" t="s">
        <v>1575</v>
      </c>
      <c r="C199" s="1314" t="s">
        <v>1505</v>
      </c>
      <c r="D199" s="1314" t="s">
        <v>1495</v>
      </c>
      <c r="E199" s="1315"/>
      <c r="F199" s="1316"/>
      <c r="G199" s="1260">
        <f>AVERAGE(G211:G212)</f>
        <v>70.777109586190562</v>
      </c>
      <c r="H199" s="1301"/>
      <c r="I199" s="1260">
        <f>AVERAGE(I211:I212)</f>
        <v>326.9666666666667</v>
      </c>
      <c r="J199" s="1301"/>
      <c r="K199" s="2488"/>
      <c r="L199" s="2478"/>
      <c r="M199" s="1262"/>
      <c r="N199" s="1263"/>
      <c r="O199" s="1388"/>
      <c r="P199" s="1358"/>
      <c r="Q199" s="1358"/>
      <c r="R199" s="1358"/>
      <c r="S199" s="1358"/>
      <c r="T199" s="1327"/>
      <c r="U199" s="1314" t="s">
        <v>1498</v>
      </c>
      <c r="V199" s="1226"/>
      <c r="W199" s="1222"/>
      <c r="X199" s="1222"/>
      <c r="Y199" s="1222"/>
      <c r="Z199" s="1222"/>
      <c r="AA199" s="1222"/>
      <c r="AB199" s="1226"/>
      <c r="AC199" s="1222"/>
      <c r="AD199" s="1222"/>
      <c r="AE199" s="1222"/>
      <c r="AF199" s="1222"/>
      <c r="AG199" s="1222"/>
      <c r="AH199" s="1323">
        <v>15.413378960220149</v>
      </c>
      <c r="AI199" s="1320">
        <v>1.7537874671635258</v>
      </c>
      <c r="AJ199" s="1324">
        <v>36</v>
      </c>
      <c r="AK199" s="1309"/>
      <c r="AL199" s="1318"/>
      <c r="AM199" s="1318"/>
      <c r="AN199" s="1325"/>
      <c r="AO199" s="1226"/>
      <c r="AP199" s="1253"/>
      <c r="AQ199" s="1221">
        <v>1000</v>
      </c>
      <c r="AR199" s="1221">
        <f t="shared" si="29"/>
        <v>0.372</v>
      </c>
      <c r="BJ199" s="95"/>
      <c r="BK199" s="153"/>
      <c r="BL199" s="153"/>
      <c r="BM199" s="153"/>
      <c r="BN199" s="153"/>
      <c r="BO199" s="153"/>
      <c r="BP199" s="153"/>
      <c r="BQ199" s="153"/>
      <c r="BR199" s="153"/>
      <c r="BS199" s="153"/>
      <c r="BT199" s="153"/>
      <c r="BU199" s="95"/>
      <c r="BV199" s="95"/>
      <c r="BW199" s="95"/>
      <c r="BX199" s="95"/>
      <c r="BY199" s="95"/>
      <c r="BZ199" s="95"/>
    </row>
    <row r="200" spans="1:78" s="1221" customFormat="1">
      <c r="A200" s="2480"/>
      <c r="B200" s="1222"/>
      <c r="C200" s="1223"/>
      <c r="D200" s="1223"/>
      <c r="E200" s="1222"/>
      <c r="F200" s="1222"/>
      <c r="G200" s="1270"/>
      <c r="H200" s="1270"/>
      <c r="I200" s="1270"/>
      <c r="J200" s="1270"/>
      <c r="K200" s="1389"/>
      <c r="L200" s="1390"/>
      <c r="M200" s="1226"/>
      <c r="N200" s="1222"/>
      <c r="O200" s="1222"/>
      <c r="P200" s="1270"/>
      <c r="Q200" s="1270"/>
      <c r="R200" s="1270"/>
      <c r="S200" s="1270"/>
      <c r="T200" s="1336"/>
      <c r="U200" s="1314" t="s">
        <v>1501</v>
      </c>
      <c r="V200" s="1226"/>
      <c r="W200" s="1222"/>
      <c r="X200" s="1222"/>
      <c r="Y200" s="1222"/>
      <c r="Z200" s="1222"/>
      <c r="AA200" s="1222"/>
      <c r="AB200" s="1226"/>
      <c r="AC200" s="1222"/>
      <c r="AD200" s="1222"/>
      <c r="AE200" s="1222"/>
      <c r="AF200" s="1222"/>
      <c r="AG200" s="1222"/>
      <c r="AH200" s="1323">
        <v>12.64460873851313</v>
      </c>
      <c r="AI200" s="1320">
        <v>2.2565962999331441</v>
      </c>
      <c r="AJ200" s="1324">
        <v>37</v>
      </c>
      <c r="AK200" s="1309"/>
      <c r="AL200" s="1318"/>
      <c r="AM200" s="1318"/>
      <c r="AN200" s="1325"/>
      <c r="AO200" s="1226"/>
      <c r="AP200" s="1253"/>
      <c r="AQ200" s="1221">
        <v>1200</v>
      </c>
      <c r="AR200" s="1221">
        <f t="shared" si="29"/>
        <v>0.32916666666666666</v>
      </c>
      <c r="BJ200" s="95"/>
      <c r="BK200" s="153"/>
      <c r="BL200" s="153"/>
      <c r="BM200" s="153"/>
      <c r="BN200" s="153"/>
      <c r="BO200" s="153"/>
      <c r="BP200" s="153"/>
      <c r="BQ200" s="153"/>
      <c r="BR200" s="153"/>
      <c r="BS200" s="153"/>
      <c r="BT200" s="153"/>
      <c r="BU200" s="95"/>
      <c r="BV200" s="95"/>
      <c r="BW200" s="95"/>
      <c r="BX200" s="95"/>
      <c r="BY200" s="95"/>
      <c r="BZ200" s="95"/>
    </row>
    <row r="201" spans="1:78" s="1221" customFormat="1">
      <c r="A201" s="2480"/>
      <c r="B201" s="1226"/>
      <c r="C201" s="1223"/>
      <c r="D201" s="1223"/>
      <c r="E201" s="1222"/>
      <c r="F201" s="1222"/>
      <c r="G201" s="1270"/>
      <c r="H201" s="1270"/>
      <c r="I201" s="1270"/>
      <c r="J201" s="1270"/>
      <c r="K201" s="1222"/>
      <c r="L201" s="1270"/>
      <c r="M201" s="1226"/>
      <c r="N201" s="1222"/>
      <c r="O201" s="1222"/>
      <c r="P201" s="1270"/>
      <c r="Q201" s="1270"/>
      <c r="R201" s="1270"/>
      <c r="S201" s="1270"/>
      <c r="T201" s="1336"/>
      <c r="U201" s="1314" t="s">
        <v>1502</v>
      </c>
      <c r="V201" s="1226"/>
      <c r="W201" s="1222"/>
      <c r="X201" s="1222"/>
      <c r="Y201" s="1222"/>
      <c r="Z201" s="1222"/>
      <c r="AA201" s="1222"/>
      <c r="AB201" s="1226"/>
      <c r="AC201" s="1222"/>
      <c r="AD201" s="1222"/>
      <c r="AE201" s="1222"/>
      <c r="AF201" s="1222"/>
      <c r="AG201" s="1222"/>
      <c r="AH201" s="1328"/>
      <c r="AI201" s="1318"/>
      <c r="AJ201" s="1309"/>
      <c r="AK201" s="1309"/>
      <c r="AL201" s="1320">
        <v>58.734585925980568</v>
      </c>
      <c r="AM201" s="1320">
        <v>12.720092983023894</v>
      </c>
      <c r="AN201" s="1321">
        <v>33</v>
      </c>
      <c r="AO201" s="1226"/>
      <c r="AP201" s="1253"/>
      <c r="AQ201" s="1221">
        <v>1400</v>
      </c>
      <c r="AR201" s="1221">
        <f t="shared" si="29"/>
        <v>0.30071428571428571</v>
      </c>
      <c r="BJ201" s="95"/>
      <c r="BK201" s="153"/>
      <c r="BL201" s="153"/>
      <c r="BM201" s="153"/>
      <c r="BN201" s="153"/>
      <c r="BO201" s="153"/>
      <c r="BP201" s="153"/>
      <c r="BQ201" s="153"/>
      <c r="BR201" s="153"/>
      <c r="BS201" s="153"/>
      <c r="BT201" s="153"/>
      <c r="BU201" s="95"/>
      <c r="BV201" s="95"/>
      <c r="BW201" s="95"/>
      <c r="BX201" s="95"/>
      <c r="BY201" s="95"/>
      <c r="BZ201" s="95"/>
    </row>
    <row r="202" spans="1:78" s="1221" customFormat="1">
      <c r="A202" s="2480"/>
      <c r="B202" s="1226"/>
      <c r="C202" s="1223"/>
      <c r="D202" s="1223"/>
      <c r="E202" s="1222"/>
      <c r="F202" s="1222"/>
      <c r="G202" s="1270"/>
      <c r="H202" s="1270"/>
      <c r="I202" s="1270"/>
      <c r="J202" s="1270"/>
      <c r="K202" s="1222"/>
      <c r="L202" s="1270"/>
      <c r="M202" s="1226"/>
      <c r="N202" s="1222"/>
      <c r="O202" s="1222"/>
      <c r="P202" s="1270"/>
      <c r="Q202" s="1270"/>
      <c r="R202" s="1270"/>
      <c r="S202" s="1270"/>
      <c r="T202" s="1336"/>
      <c r="U202" s="1314" t="s">
        <v>1503</v>
      </c>
      <c r="V202" s="1226"/>
      <c r="W202" s="1222"/>
      <c r="X202" s="1222"/>
      <c r="Y202" s="1222"/>
      <c r="Z202" s="1222"/>
      <c r="AA202" s="1222"/>
      <c r="AB202" s="1226"/>
      <c r="AC202" s="1222"/>
      <c r="AD202" s="1222"/>
      <c r="AE202" s="1222"/>
      <c r="AF202" s="1222"/>
      <c r="AG202" s="1222"/>
      <c r="AH202" s="1323">
        <v>3.2958445348017729</v>
      </c>
      <c r="AI202" s="1320">
        <v>0.48883173265428237</v>
      </c>
      <c r="AJ202" s="1324">
        <v>36</v>
      </c>
      <c r="AK202" s="1309"/>
      <c r="AL202" s="1370"/>
      <c r="AM202" s="1370"/>
      <c r="AN202" s="1273"/>
      <c r="AO202" s="1226"/>
      <c r="AP202" s="1253"/>
      <c r="AQ202" s="1221">
        <v>1600</v>
      </c>
      <c r="AR202" s="1221">
        <f t="shared" si="29"/>
        <v>0.27374999999999999</v>
      </c>
      <c r="BJ202" s="95"/>
      <c r="BK202" s="153"/>
      <c r="BL202" s="153"/>
      <c r="BM202" s="153"/>
      <c r="BN202" s="153"/>
      <c r="BO202" s="153"/>
      <c r="BP202" s="153"/>
      <c r="BQ202" s="153"/>
      <c r="BR202" s="153"/>
      <c r="BS202" s="153"/>
      <c r="BT202" s="153"/>
      <c r="BU202" s="95"/>
      <c r="BV202" s="95"/>
      <c r="BW202" s="95"/>
      <c r="BX202" s="95"/>
      <c r="BY202" s="95"/>
      <c r="BZ202" s="95"/>
    </row>
    <row r="203" spans="1:78" s="1221" customFormat="1">
      <c r="A203" s="2480"/>
      <c r="B203" s="1222"/>
      <c r="C203" s="1223"/>
      <c r="D203" s="1223"/>
      <c r="E203" s="1222"/>
      <c r="F203" s="1222"/>
      <c r="G203" s="1270"/>
      <c r="H203" s="1270"/>
      <c r="I203" s="1270"/>
      <c r="J203" s="1270"/>
      <c r="K203" s="1222"/>
      <c r="L203" s="1270"/>
      <c r="M203" s="1226"/>
      <c r="N203" s="1222"/>
      <c r="O203" s="1222"/>
      <c r="P203" s="1270"/>
      <c r="Q203" s="1270"/>
      <c r="R203" s="1270"/>
      <c r="S203" s="1270"/>
      <c r="T203" s="1270"/>
      <c r="U203" s="1314" t="s">
        <v>1576</v>
      </c>
      <c r="V203" s="1226"/>
      <c r="W203" s="1222"/>
      <c r="X203" s="1222"/>
      <c r="Y203" s="1222"/>
      <c r="Z203" s="1222"/>
      <c r="AA203" s="1222"/>
      <c r="AB203" s="1226"/>
      <c r="AC203" s="1222"/>
      <c r="AD203" s="1222"/>
      <c r="AE203" s="1222"/>
      <c r="AF203" s="1222"/>
      <c r="AG203" s="1222"/>
      <c r="AH203" s="1226"/>
      <c r="AI203" s="1222"/>
      <c r="AJ203" s="1222"/>
      <c r="AK203" s="1222"/>
      <c r="AL203" s="1391"/>
      <c r="AM203" s="1391"/>
      <c r="AN203" s="1222"/>
      <c r="AO203" s="1282">
        <v>6.4</v>
      </c>
      <c r="AP203" s="1283">
        <v>50.98</v>
      </c>
      <c r="AQ203" s="1221">
        <v>1800</v>
      </c>
      <c r="AR203" s="1221">
        <f t="shared" si="29"/>
        <v>0.25388888888888889</v>
      </c>
      <c r="BJ203" s="95"/>
      <c r="BK203" s="153"/>
      <c r="BL203" s="153"/>
      <c r="BM203" s="153"/>
      <c r="BN203" s="153"/>
      <c r="BO203" s="153"/>
      <c r="BP203" s="153"/>
      <c r="BQ203" s="153"/>
      <c r="BR203" s="153"/>
      <c r="BS203" s="153"/>
      <c r="BT203" s="153"/>
      <c r="BU203" s="95"/>
      <c r="BV203" s="95"/>
      <c r="BW203" s="95"/>
      <c r="BX203" s="95"/>
      <c r="BY203" s="95"/>
      <c r="BZ203" s="95"/>
    </row>
    <row r="204" spans="1:78" s="1221" customFormat="1">
      <c r="A204" s="2480"/>
      <c r="B204" s="1222"/>
      <c r="C204" s="1223"/>
      <c r="D204" s="1223"/>
      <c r="E204" s="1222"/>
      <c r="F204" s="1222"/>
      <c r="G204" s="1270"/>
      <c r="H204" s="1270"/>
      <c r="I204" s="1270"/>
      <c r="J204" s="1270"/>
      <c r="K204" s="1222"/>
      <c r="L204" s="1270"/>
      <c r="M204" s="1226"/>
      <c r="N204" s="1222"/>
      <c r="O204" s="1222"/>
      <c r="P204" s="1270"/>
      <c r="Q204" s="1270"/>
      <c r="R204" s="1270"/>
      <c r="S204" s="1270"/>
      <c r="T204" s="1270"/>
      <c r="U204" s="1314" t="s">
        <v>1577</v>
      </c>
      <c r="V204" s="1226"/>
      <c r="W204" s="1222"/>
      <c r="X204" s="1222"/>
      <c r="Y204" s="1222"/>
      <c r="Z204" s="1222"/>
      <c r="AA204" s="1222"/>
      <c r="AB204" s="1226"/>
      <c r="AC204" s="1222"/>
      <c r="AD204" s="1222"/>
      <c r="AE204" s="1222"/>
      <c r="AF204" s="1222"/>
      <c r="AG204" s="1222"/>
      <c r="AH204" s="1226"/>
      <c r="AI204" s="1222"/>
      <c r="AJ204" s="1222"/>
      <c r="AK204" s="1222"/>
      <c r="AL204" s="1222"/>
      <c r="AM204" s="1222"/>
      <c r="AN204" s="1222"/>
      <c r="AO204" s="1282">
        <v>7.6189999999999998</v>
      </c>
      <c r="AP204" s="1283">
        <v>50.98</v>
      </c>
      <c r="AQ204" s="1221">
        <v>2000</v>
      </c>
      <c r="AR204" s="1221">
        <f t="shared" si="29"/>
        <v>0.246</v>
      </c>
      <c r="BJ204" s="95"/>
      <c r="BK204" s="153"/>
      <c r="BL204" s="153"/>
      <c r="BM204" s="153"/>
      <c r="BN204" s="153"/>
      <c r="BO204" s="153"/>
      <c r="BP204" s="153"/>
      <c r="BQ204" s="153"/>
      <c r="BR204" s="153"/>
      <c r="BS204" s="153"/>
      <c r="BT204" s="153"/>
      <c r="BU204" s="95"/>
      <c r="BV204" s="95"/>
      <c r="BW204" s="95"/>
      <c r="BX204" s="95"/>
      <c r="BY204" s="95"/>
      <c r="BZ204" s="95"/>
    </row>
    <row r="205" spans="1:78">
      <c r="A205" s="2480"/>
      <c r="B205" s="1222"/>
      <c r="C205" s="1223"/>
      <c r="D205" s="1223"/>
      <c r="E205" s="1222"/>
      <c r="F205" s="1222"/>
      <c r="G205" s="1270"/>
      <c r="H205" s="1270"/>
      <c r="I205" s="1270"/>
      <c r="J205" s="1270"/>
      <c r="K205" s="1222"/>
      <c r="L205" s="1270"/>
      <c r="M205" s="1226"/>
      <c r="N205" s="1222"/>
      <c r="O205" s="1222"/>
      <c r="P205" s="1270"/>
      <c r="Q205" s="1270"/>
      <c r="R205" s="1270"/>
      <c r="S205" s="1270"/>
      <c r="T205" s="1270"/>
      <c r="U205" s="1314" t="s">
        <v>1578</v>
      </c>
      <c r="V205" s="1226"/>
      <c r="W205" s="1222"/>
      <c r="X205" s="1222"/>
      <c r="Y205" s="1222"/>
      <c r="Z205" s="1222"/>
      <c r="AA205" s="1222"/>
      <c r="AB205" s="1226"/>
      <c r="AC205" s="1222"/>
      <c r="AD205" s="1222"/>
      <c r="AE205" s="1222"/>
      <c r="AF205" s="1222"/>
      <c r="AG205" s="1222"/>
      <c r="AH205" s="1226"/>
      <c r="AI205" s="1222"/>
      <c r="AJ205" s="1222"/>
      <c r="AK205" s="1222"/>
      <c r="AL205" s="1222"/>
      <c r="AM205" s="1222"/>
      <c r="AN205" s="1222"/>
      <c r="AO205" s="1282">
        <v>9.4120000000000008</v>
      </c>
      <c r="AP205" s="1283">
        <v>50.98</v>
      </c>
      <c r="AQ205" s="1221">
        <v>2500</v>
      </c>
      <c r="AR205" s="1221">
        <f t="shared" si="29"/>
        <v>0.20960000000000001</v>
      </c>
    </row>
    <row r="206" spans="1:78" ht="9" customHeight="1">
      <c r="A206" s="2480"/>
      <c r="B206" s="1222"/>
      <c r="C206" s="1223"/>
      <c r="D206" s="1223"/>
      <c r="E206" s="1222"/>
      <c r="F206" s="1222"/>
      <c r="G206" s="1270"/>
      <c r="H206" s="1270"/>
      <c r="I206" s="1270"/>
      <c r="J206" s="1270"/>
      <c r="K206" s="1222"/>
      <c r="L206" s="1270"/>
      <c r="M206" s="1226"/>
      <c r="N206" s="1222"/>
      <c r="O206" s="1222"/>
      <c r="P206" s="1270"/>
      <c r="Q206" s="1270"/>
      <c r="R206" s="1270"/>
      <c r="S206" s="1270"/>
      <c r="T206" s="1270"/>
      <c r="U206" s="1314" t="s">
        <v>1579</v>
      </c>
      <c r="V206" s="1226"/>
      <c r="W206" s="1222"/>
      <c r="X206" s="1222"/>
      <c r="Y206" s="1222"/>
      <c r="Z206" s="1222"/>
      <c r="AA206" s="1222"/>
      <c r="AB206" s="1226"/>
      <c r="AC206" s="1222"/>
      <c r="AD206" s="1222"/>
      <c r="AE206" s="1222"/>
      <c r="AF206" s="1222"/>
      <c r="AG206" s="1222"/>
      <c r="AH206" s="1226"/>
      <c r="AI206" s="1222"/>
      <c r="AJ206" s="1222"/>
      <c r="AK206" s="1222"/>
      <c r="AL206" s="1222"/>
      <c r="AM206" s="1222"/>
      <c r="AN206" s="1222"/>
      <c r="AO206" s="1264">
        <v>12.308</v>
      </c>
      <c r="AP206" s="1283">
        <v>50.98</v>
      </c>
      <c r="AQ206" s="1221" t="s">
        <v>165</v>
      </c>
      <c r="AR206" s="1221" t="s">
        <v>1688</v>
      </c>
    </row>
    <row r="207" spans="1:78">
      <c r="A207" s="2480"/>
      <c r="B207" s="1222"/>
      <c r="C207" s="1223"/>
      <c r="D207" s="1223"/>
      <c r="E207" s="1222"/>
      <c r="F207" s="1222"/>
      <c r="G207" s="1270"/>
      <c r="H207" s="1270"/>
      <c r="I207" s="1270"/>
      <c r="J207" s="1270"/>
      <c r="K207" s="1222"/>
      <c r="L207" s="1270"/>
      <c r="M207" s="1226"/>
      <c r="N207" s="1222"/>
      <c r="O207" s="1222"/>
      <c r="P207" s="1270"/>
      <c r="Q207" s="1270"/>
      <c r="R207" s="1270"/>
      <c r="S207" s="1270"/>
      <c r="T207" s="1270"/>
      <c r="U207" s="1314" t="s">
        <v>1580</v>
      </c>
      <c r="V207" s="1226"/>
      <c r="W207" s="1222"/>
      <c r="X207" s="1222"/>
      <c r="Y207" s="1222"/>
      <c r="Z207" s="1222"/>
      <c r="AA207" s="1222"/>
      <c r="AB207" s="1226"/>
      <c r="AC207" s="1222"/>
      <c r="AD207" s="1222"/>
      <c r="AE207" s="1222"/>
      <c r="AF207" s="1222"/>
      <c r="AG207" s="1222"/>
      <c r="AH207" s="1226"/>
      <c r="AI207" s="1222"/>
      <c r="AJ207" s="1222"/>
      <c r="AK207" s="1222"/>
      <c r="AL207" s="1222"/>
      <c r="AM207" s="1222"/>
      <c r="AN207" s="1222"/>
      <c r="AO207" s="1264">
        <v>14.545</v>
      </c>
      <c r="AP207" s="1283">
        <v>50.98</v>
      </c>
    </row>
    <row r="208" spans="1:78">
      <c r="A208" s="2480"/>
      <c r="B208" s="1222"/>
      <c r="C208" s="1223"/>
      <c r="D208" s="1223"/>
      <c r="E208" s="1222"/>
      <c r="F208" s="1222"/>
      <c r="G208" s="1270"/>
      <c r="H208" s="1270"/>
      <c r="I208" s="1270"/>
      <c r="J208" s="1270"/>
      <c r="K208" s="1222"/>
      <c r="L208" s="1270"/>
      <c r="M208" s="1226"/>
      <c r="N208" s="1222"/>
      <c r="O208" s="1222"/>
      <c r="P208" s="1270"/>
      <c r="Q208" s="1270"/>
      <c r="R208" s="1270"/>
      <c r="S208" s="1270"/>
      <c r="T208" s="1270"/>
      <c r="U208" s="1314" t="s">
        <v>1581</v>
      </c>
      <c r="V208" s="1226"/>
      <c r="W208" s="1222"/>
      <c r="X208" s="1222"/>
      <c r="Y208" s="1222"/>
      <c r="Z208" s="1222"/>
      <c r="AA208" s="1222"/>
      <c r="AB208" s="1226"/>
      <c r="AC208" s="1222"/>
      <c r="AD208" s="1222"/>
      <c r="AE208" s="1222"/>
      <c r="AF208" s="1222"/>
      <c r="AG208" s="1222"/>
      <c r="AH208" s="1226"/>
      <c r="AI208" s="1222"/>
      <c r="AJ208" s="1222"/>
      <c r="AK208" s="1222"/>
      <c r="AL208" s="1222"/>
      <c r="AM208" s="1222"/>
      <c r="AN208" s="1222"/>
      <c r="AO208" s="1264">
        <v>17.777999999999999</v>
      </c>
      <c r="AP208" s="1283">
        <v>50.98</v>
      </c>
    </row>
    <row r="209" spans="1:78" ht="15" thickBot="1">
      <c r="A209" s="2480"/>
      <c r="B209" s="1222"/>
      <c r="C209" s="1223"/>
      <c r="D209" s="1223"/>
      <c r="E209" s="1222"/>
      <c r="F209" s="1222"/>
      <c r="G209" s="1270"/>
      <c r="H209" s="1270"/>
      <c r="I209" s="1270"/>
      <c r="J209" s="1270"/>
      <c r="K209" s="1222"/>
      <c r="L209" s="1270"/>
      <c r="M209" s="1226"/>
      <c r="N209" s="1222"/>
      <c r="O209" s="1222"/>
      <c r="P209" s="1270"/>
      <c r="Q209" s="1270"/>
      <c r="R209" s="1270"/>
      <c r="S209" s="1270"/>
      <c r="T209" s="1270"/>
      <c r="U209" s="1314" t="s">
        <v>1582</v>
      </c>
      <c r="V209" s="1226"/>
      <c r="W209" s="1222"/>
      <c r="X209" s="1222"/>
      <c r="Y209" s="1222"/>
      <c r="Z209" s="1222"/>
      <c r="AA209" s="1222"/>
      <c r="AB209" s="1226"/>
      <c r="AC209" s="1222"/>
      <c r="AD209" s="1222"/>
      <c r="AE209" s="1222"/>
      <c r="AF209" s="1222"/>
      <c r="AG209" s="1222"/>
      <c r="AH209" s="1226"/>
      <c r="AI209" s="1222"/>
      <c r="AJ209" s="1222"/>
      <c r="AK209" s="1222"/>
      <c r="AL209" s="1222"/>
      <c r="AM209" s="1222"/>
      <c r="AN209" s="1222"/>
      <c r="AO209" s="1329">
        <v>26.667000000000002</v>
      </c>
      <c r="AP209" s="1330">
        <v>50.98</v>
      </c>
    </row>
    <row r="210" spans="1:78" ht="18.600000000000001" thickBot="1">
      <c r="A210" s="1272"/>
      <c r="B210" s="1242"/>
      <c r="C210" s="1243"/>
      <c r="D210" s="1243"/>
      <c r="E210" s="1242"/>
      <c r="F210" s="1242"/>
      <c r="G210" s="1244"/>
      <c r="H210" s="1244"/>
      <c r="I210" s="1244"/>
      <c r="J210" s="1244"/>
      <c r="K210" s="1242"/>
      <c r="L210" s="1244"/>
      <c r="M210" s="1245"/>
      <c r="N210" s="1242"/>
      <c r="O210" s="1242"/>
      <c r="P210" s="1244"/>
      <c r="Q210" s="1244"/>
      <c r="R210" s="1244"/>
      <c r="S210" s="1244"/>
      <c r="T210" s="1244"/>
      <c r="U210" s="1245"/>
      <c r="V210" s="1245"/>
      <c r="W210" s="1242"/>
      <c r="X210" s="1242"/>
      <c r="Y210" s="1242"/>
      <c r="Z210" s="1242"/>
      <c r="AA210" s="1242"/>
      <c r="AB210" s="1245"/>
      <c r="AC210" s="1242"/>
      <c r="AD210" s="1242"/>
      <c r="AE210" s="1242"/>
      <c r="AF210" s="1242"/>
      <c r="AG210" s="1242"/>
      <c r="AH210" s="1245"/>
      <c r="AI210" s="1242"/>
      <c r="AJ210" s="1242"/>
      <c r="AK210" s="1242"/>
      <c r="AL210" s="1242"/>
      <c r="AM210" s="1242"/>
      <c r="AN210" s="1242"/>
      <c r="AO210" s="1245"/>
      <c r="AP210" s="1246"/>
    </row>
    <row r="211" spans="1:78">
      <c r="A211" s="2479" t="s">
        <v>549</v>
      </c>
      <c r="B211" s="1319" t="s">
        <v>1689</v>
      </c>
      <c r="C211" s="1298" t="s">
        <v>1505</v>
      </c>
      <c r="D211" s="1314" t="s">
        <v>1495</v>
      </c>
      <c r="E211" s="1326">
        <f>AVERAGE(V211,AB211)/7.5</f>
        <v>4.4666666666666668</v>
      </c>
      <c r="F211" s="1356"/>
      <c r="G211" s="1260">
        <f>AVERAGE(W211,AC211)*BS7</f>
        <v>70.95015875388296</v>
      </c>
      <c r="H211" s="1392">
        <f>G211*E211</f>
        <v>316.91070910067725</v>
      </c>
      <c r="I211" s="1258">
        <f>(SUM(Y211,AE211,AA211,AG211)/2)/7.5</f>
        <v>321.39999999999998</v>
      </c>
      <c r="J211" s="1258"/>
      <c r="K211" s="2482">
        <v>0.27500000000000002</v>
      </c>
      <c r="L211" s="1307">
        <f>((E211*G211)+I211)*(1+$K$211)</f>
        <v>813.84615410336346</v>
      </c>
      <c r="M211" s="1256" t="s">
        <v>1690</v>
      </c>
      <c r="N211" s="1393" t="s">
        <v>1691</v>
      </c>
      <c r="O211" s="1367" t="e">
        <f>#REF!</f>
        <v>#REF!</v>
      </c>
      <c r="P211" s="1301">
        <f>AVERAGE(AP213:AP216)*BQ22</f>
        <v>59.584311916238107</v>
      </c>
      <c r="Q211" s="1301" t="e">
        <f>O211*P211</f>
        <v>#REF!</v>
      </c>
      <c r="R211" s="1301"/>
      <c r="S211" s="1301"/>
      <c r="T211" s="1276" t="e">
        <f>Q211</f>
        <v>#REF!</v>
      </c>
      <c r="U211" s="1394" t="s">
        <v>1692</v>
      </c>
      <c r="V211" s="1282">
        <v>27</v>
      </c>
      <c r="W211" s="1365">
        <v>108</v>
      </c>
      <c r="X211" s="1365">
        <v>2912</v>
      </c>
      <c r="Y211" s="1365">
        <v>810</v>
      </c>
      <c r="Z211" s="1365">
        <v>500</v>
      </c>
      <c r="AA211" s="1366">
        <v>2648</v>
      </c>
      <c r="AB211" s="1282">
        <v>40</v>
      </c>
      <c r="AC211" s="1365">
        <v>97</v>
      </c>
      <c r="AD211" s="1365">
        <v>3896</v>
      </c>
      <c r="AE211" s="1365">
        <v>846</v>
      </c>
      <c r="AF211" s="1365">
        <v>600</v>
      </c>
      <c r="AG211" s="1366">
        <v>517</v>
      </c>
      <c r="AH211" s="1310"/>
      <c r="AI211" s="1311"/>
      <c r="AJ211" s="1311"/>
      <c r="AK211" s="1311"/>
      <c r="AL211" s="1311"/>
      <c r="AM211" s="1311"/>
      <c r="AN211" s="1311"/>
      <c r="AO211" s="1226"/>
      <c r="AP211" s="1253"/>
      <c r="AQ211" s="1221" t="s">
        <v>1505</v>
      </c>
      <c r="AR211" s="1221" t="s">
        <v>1507</v>
      </c>
    </row>
    <row r="212" spans="1:78">
      <c r="A212" s="2480"/>
      <c r="B212" s="1319" t="s">
        <v>1693</v>
      </c>
      <c r="C212" s="1298" t="s">
        <v>1505</v>
      </c>
      <c r="D212" s="1314" t="s">
        <v>1495</v>
      </c>
      <c r="E212" s="1326">
        <f>AVERAGE(V212,AB212)/7.5</f>
        <v>4.1333333333333337</v>
      </c>
      <c r="F212" s="1356"/>
      <c r="G212" s="1260">
        <f>AVERAGE(W212,AC212)*BS7</f>
        <v>70.604060418498165</v>
      </c>
      <c r="H212" s="1392">
        <f>G212*E212</f>
        <v>291.83011639645912</v>
      </c>
      <c r="I212" s="1258">
        <f>(SUM(Y212,AE212,AA212,AG212)/2)/7.5</f>
        <v>332.53333333333336</v>
      </c>
      <c r="J212" s="1258"/>
      <c r="K212" s="2482"/>
      <c r="L212" s="1307">
        <f>((E212*G212)+I212)*(1+$K$211)</f>
        <v>796.06339840548537</v>
      </c>
      <c r="M212" s="1315" t="s">
        <v>1694</v>
      </c>
      <c r="N212" s="1309"/>
      <c r="O212" s="1318"/>
      <c r="P212" s="1260"/>
      <c r="Q212" s="1260"/>
      <c r="R212" s="1260"/>
      <c r="S212" s="1301">
        <f>AVERAGE(Z211,AF211)</f>
        <v>550</v>
      </c>
      <c r="T212" s="1276"/>
      <c r="U212" s="1395" t="s">
        <v>1695</v>
      </c>
      <c r="V212" s="1282">
        <v>26</v>
      </c>
      <c r="W212" s="1365">
        <v>108</v>
      </c>
      <c r="X212" s="1365">
        <v>2800</v>
      </c>
      <c r="Y212" s="1365">
        <v>980</v>
      </c>
      <c r="Z212" s="1365">
        <v>1500</v>
      </c>
      <c r="AA212" s="1366">
        <v>2961</v>
      </c>
      <c r="AB212" s="1282">
        <v>36</v>
      </c>
      <c r="AC212" s="1365">
        <v>96</v>
      </c>
      <c r="AD212" s="1365">
        <v>3447</v>
      </c>
      <c r="AE212" s="1365">
        <v>438</v>
      </c>
      <c r="AF212" s="1365">
        <v>1000</v>
      </c>
      <c r="AG212" s="1366">
        <v>609</v>
      </c>
      <c r="AH212" s="1226"/>
      <c r="AI212" s="1222"/>
      <c r="AJ212" s="1222"/>
      <c r="AK212" s="1222"/>
      <c r="AL212" s="1222"/>
      <c r="AM212" s="1222"/>
      <c r="AN212" s="1222"/>
      <c r="AO212" s="1226"/>
      <c r="AP212" s="1253"/>
      <c r="AQ212" s="1221">
        <v>1.5</v>
      </c>
      <c r="AR212" s="1221">
        <f>AO203/AQ212</f>
        <v>4.2666666666666666</v>
      </c>
      <c r="AS212" s="1221" t="s">
        <v>1568</v>
      </c>
      <c r="AT212" s="1221">
        <f>AVERAGE(AR212:AR216)</f>
        <v>4.0198695238095237</v>
      </c>
    </row>
    <row r="213" spans="1:78">
      <c r="A213" s="2480"/>
      <c r="B213" s="1319" t="s">
        <v>1696</v>
      </c>
      <c r="C213" s="1298" t="s">
        <v>1505</v>
      </c>
      <c r="D213" s="1298" t="s">
        <v>1490</v>
      </c>
      <c r="E213" s="1315"/>
      <c r="F213" s="1316"/>
      <c r="G213" s="1309"/>
      <c r="H213" s="1309"/>
      <c r="I213" s="1309"/>
      <c r="J213" s="1301">
        <f>AL198</f>
        <v>598.37801194433382</v>
      </c>
      <c r="K213" s="2482"/>
      <c r="L213" s="1276"/>
      <c r="M213" s="1315" t="s">
        <v>1697</v>
      </c>
      <c r="N213" s="1309"/>
      <c r="O213" s="1309"/>
      <c r="P213" s="1260"/>
      <c r="Q213" s="1260"/>
      <c r="R213" s="1260"/>
      <c r="S213" s="1301">
        <f>AVERAGE(Z212,AF212)</f>
        <v>1250</v>
      </c>
      <c r="T213" s="1276"/>
      <c r="U213" s="1396" t="s">
        <v>1603</v>
      </c>
      <c r="V213" s="1226"/>
      <c r="W213" s="1222"/>
      <c r="X213" s="1222"/>
      <c r="Y213" s="1222"/>
      <c r="Z213" s="1222"/>
      <c r="AA213" s="1222"/>
      <c r="AB213" s="1226"/>
      <c r="AC213" s="1222"/>
      <c r="AD213" s="1222"/>
      <c r="AE213" s="1222"/>
      <c r="AF213" s="1222"/>
      <c r="AG213" s="1222"/>
      <c r="AH213" s="1397"/>
      <c r="AI213" s="1398"/>
      <c r="AJ213" s="1398"/>
      <c r="AK213" s="1222"/>
      <c r="AL213" s="1222"/>
      <c r="AM213" s="1222"/>
      <c r="AN213" s="1222"/>
      <c r="AO213" s="1282">
        <v>29.091000000000001</v>
      </c>
      <c r="AP213" s="1283">
        <v>50.98</v>
      </c>
      <c r="AQ213" s="1221">
        <v>2</v>
      </c>
      <c r="AR213" s="1221">
        <f>AO204/AQ213</f>
        <v>3.8094999999999999</v>
      </c>
      <c r="AS213" s="1221" t="s">
        <v>1569</v>
      </c>
      <c r="AT213" s="1221">
        <f>STDEV(AR212:AR216)</f>
        <v>0.22109601672631937</v>
      </c>
    </row>
    <row r="214" spans="1:78">
      <c r="A214" s="2480"/>
      <c r="B214" s="1222"/>
      <c r="C214" s="1223"/>
      <c r="D214" s="1223"/>
      <c r="E214" s="1222"/>
      <c r="F214" s="1222"/>
      <c r="G214" s="1270"/>
      <c r="H214" s="1270"/>
      <c r="I214" s="1270"/>
      <c r="J214" s="1270"/>
      <c r="K214" s="1222"/>
      <c r="L214" s="1336"/>
      <c r="M214" s="1226"/>
      <c r="N214" s="1222"/>
      <c r="O214" s="1222"/>
      <c r="P214" s="1270"/>
      <c r="Q214" s="1270"/>
      <c r="R214" s="1270"/>
      <c r="S214" s="1270"/>
      <c r="T214" s="1336"/>
      <c r="U214" s="1314" t="s">
        <v>1604</v>
      </c>
      <c r="V214" s="1226"/>
      <c r="W214" s="1222"/>
      <c r="X214" s="1222"/>
      <c r="Y214" s="1222"/>
      <c r="Z214" s="1222"/>
      <c r="AA214" s="1222"/>
      <c r="AB214" s="1226"/>
      <c r="AC214" s="1222"/>
      <c r="AD214" s="1222"/>
      <c r="AE214" s="1222"/>
      <c r="AF214" s="1222"/>
      <c r="AG214" s="1222"/>
      <c r="AH214" s="1397"/>
      <c r="AI214" s="1398"/>
      <c r="AJ214" s="1398"/>
      <c r="AK214" s="1222"/>
      <c r="AL214" s="1222"/>
      <c r="AM214" s="1222"/>
      <c r="AN214" s="1222"/>
      <c r="AO214" s="1282">
        <v>32</v>
      </c>
      <c r="AP214" s="1283">
        <v>50.98</v>
      </c>
      <c r="AQ214" s="1221">
        <v>2.5</v>
      </c>
      <c r="AR214" s="1221">
        <f>AO205/AQ214</f>
        <v>3.7648000000000001</v>
      </c>
    </row>
    <row r="215" spans="1:78">
      <c r="A215" s="2480"/>
      <c r="B215" s="1222"/>
      <c r="C215" s="1223"/>
      <c r="D215" s="1223"/>
      <c r="E215" s="1222"/>
      <c r="F215" s="1222"/>
      <c r="G215" s="1270"/>
      <c r="H215" s="1270"/>
      <c r="I215" s="1270"/>
      <c r="J215" s="1270"/>
      <c r="K215" s="1222"/>
      <c r="L215" s="1336"/>
      <c r="M215" s="1226"/>
      <c r="N215" s="1222"/>
      <c r="O215" s="1222"/>
      <c r="P215" s="1270"/>
      <c r="Q215" s="1270"/>
      <c r="R215" s="1270"/>
      <c r="S215" s="1270"/>
      <c r="T215" s="1270"/>
      <c r="U215" s="1314" t="s">
        <v>1606</v>
      </c>
      <c r="V215" s="1226"/>
      <c r="W215" s="1222"/>
      <c r="X215" s="1222"/>
      <c r="Y215" s="1222"/>
      <c r="Z215" s="1222"/>
      <c r="AA215" s="1222"/>
      <c r="AB215" s="1226"/>
      <c r="AC215" s="1222"/>
      <c r="AD215" s="1222"/>
      <c r="AE215" s="1222"/>
      <c r="AF215" s="1222"/>
      <c r="AG215" s="1222"/>
      <c r="AH215" s="1397"/>
      <c r="AI215" s="1398"/>
      <c r="AJ215" s="1398"/>
      <c r="AK215" s="1222"/>
      <c r="AL215" s="1222"/>
      <c r="AM215" s="1222"/>
      <c r="AN215" s="1222"/>
      <c r="AO215" s="1282">
        <v>40</v>
      </c>
      <c r="AP215" s="1283">
        <v>50.98</v>
      </c>
      <c r="AQ215" s="1221">
        <v>3</v>
      </c>
      <c r="AR215" s="1221">
        <f>AO206/AQ215</f>
        <v>4.1026666666666669</v>
      </c>
    </row>
    <row r="216" spans="1:78" ht="15" thickBot="1">
      <c r="A216" s="2481"/>
      <c r="B216" s="1222"/>
      <c r="C216" s="1223"/>
      <c r="D216" s="1223"/>
      <c r="E216" s="1222"/>
      <c r="F216" s="1222"/>
      <c r="G216" s="1270"/>
      <c r="H216" s="1270"/>
      <c r="I216" s="1270"/>
      <c r="J216" s="1270"/>
      <c r="K216" s="1222"/>
      <c r="L216" s="1270"/>
      <c r="M216" s="1226"/>
      <c r="N216" s="1222"/>
      <c r="O216" s="1222"/>
      <c r="P216" s="1270"/>
      <c r="Q216" s="1270"/>
      <c r="R216" s="1270"/>
      <c r="S216" s="1270"/>
      <c r="T216" s="1270"/>
      <c r="U216" s="1314" t="s">
        <v>1608</v>
      </c>
      <c r="V216" s="1226"/>
      <c r="W216" s="1222"/>
      <c r="X216" s="1222"/>
      <c r="Y216" s="1222"/>
      <c r="Z216" s="1222"/>
      <c r="AA216" s="1222"/>
      <c r="AB216" s="1226"/>
      <c r="AC216" s="1222"/>
      <c r="AD216" s="1222"/>
      <c r="AE216" s="1222"/>
      <c r="AF216" s="1222"/>
      <c r="AG216" s="1222"/>
      <c r="AH216" s="1397"/>
      <c r="AI216" s="1398"/>
      <c r="AJ216" s="1398"/>
      <c r="AK216" s="1222"/>
      <c r="AL216" s="1222"/>
      <c r="AM216" s="1222"/>
      <c r="AN216" s="1222"/>
      <c r="AO216" s="1264">
        <v>60</v>
      </c>
      <c r="AP216" s="1265">
        <v>52.87</v>
      </c>
      <c r="AQ216" s="1221">
        <v>3.5</v>
      </c>
      <c r="AR216" s="1221">
        <f>AO207/AQ216</f>
        <v>4.1557142857142857</v>
      </c>
    </row>
    <row r="217" spans="1:78" s="1221" customFormat="1" ht="24" thickBot="1">
      <c r="A217" s="1241" t="s">
        <v>1289</v>
      </c>
      <c r="B217" s="1346"/>
      <c r="C217" s="1347"/>
      <c r="D217" s="1347"/>
      <c r="E217" s="1346"/>
      <c r="F217" s="1346"/>
      <c r="G217" s="1348"/>
      <c r="H217" s="1348"/>
      <c r="I217" s="1348"/>
      <c r="J217" s="1348"/>
      <c r="K217" s="1346"/>
      <c r="L217" s="1348"/>
      <c r="M217" s="1349"/>
      <c r="N217" s="1346"/>
      <c r="O217" s="1346"/>
      <c r="P217" s="1348"/>
      <c r="Q217" s="1244"/>
      <c r="R217" s="1244"/>
      <c r="S217" s="1244"/>
      <c r="T217" s="1244"/>
      <c r="U217" s="1349"/>
      <c r="V217" s="1349"/>
      <c r="W217" s="1346"/>
      <c r="X217" s="1346"/>
      <c r="Y217" s="1346"/>
      <c r="Z217" s="1346"/>
      <c r="AA217" s="1346"/>
      <c r="AB217" s="1349"/>
      <c r="AC217" s="1346"/>
      <c r="AD217" s="1346"/>
      <c r="AE217" s="1346"/>
      <c r="AF217" s="1346"/>
      <c r="AG217" s="1346"/>
      <c r="AH217" s="1349"/>
      <c r="AI217" s="1346"/>
      <c r="AJ217" s="1346"/>
      <c r="AK217" s="1346"/>
      <c r="AL217" s="1346"/>
      <c r="AM217" s="1346"/>
      <c r="AN217" s="1346"/>
      <c r="AO217" s="1349"/>
      <c r="AP217" s="1350"/>
      <c r="BJ217" s="95"/>
      <c r="BK217" s="153"/>
      <c r="BL217" s="153"/>
      <c r="BM217" s="153"/>
      <c r="BN217" s="153"/>
      <c r="BO217" s="153"/>
      <c r="BP217" s="153"/>
      <c r="BQ217" s="153"/>
      <c r="BR217" s="153"/>
      <c r="BS217" s="153"/>
      <c r="BT217" s="153"/>
      <c r="BU217" s="95"/>
      <c r="BV217" s="95"/>
      <c r="BW217" s="95"/>
      <c r="BX217" s="95"/>
      <c r="BY217" s="95"/>
      <c r="BZ217" s="95"/>
    </row>
    <row r="218" spans="1:78" s="1221" customFormat="1">
      <c r="A218" s="2464" t="s">
        <v>1290</v>
      </c>
      <c r="B218" s="1351" t="s">
        <v>1700</v>
      </c>
      <c r="C218" s="1352" t="s">
        <v>1494</v>
      </c>
      <c r="D218" s="1352" t="s">
        <v>1433</v>
      </c>
      <c r="E218" s="1399">
        <f>AVERAGE(AO218:AO223)</f>
        <v>4.8066666666666675</v>
      </c>
      <c r="F218" s="1400" t="s">
        <v>1701</v>
      </c>
      <c r="G218" s="1401">
        <f>AP218*BQ22</f>
        <v>64.61891268502184</v>
      </c>
      <c r="H218" s="1402">
        <f>E218*$G$218</f>
        <v>310.60157363933837</v>
      </c>
      <c r="I218" s="1353"/>
      <c r="J218" s="1354"/>
      <c r="K218" s="1403">
        <v>0.21</v>
      </c>
      <c r="L218" s="1355">
        <f>E218*$G$218*(1+$K$218)</f>
        <v>375.82790410359939</v>
      </c>
      <c r="M218" s="1264" t="s">
        <v>1698</v>
      </c>
      <c r="N218" s="1309"/>
      <c r="O218" s="1381">
        <v>2.25</v>
      </c>
      <c r="P218" s="1260">
        <v>59</v>
      </c>
      <c r="Q218" s="1260">
        <f>O218*P218</f>
        <v>132.75</v>
      </c>
      <c r="R218" s="1260"/>
      <c r="S218" s="1260"/>
      <c r="T218" s="1259">
        <f>Q218</f>
        <v>132.75</v>
      </c>
      <c r="U218" s="1352" t="s">
        <v>1702</v>
      </c>
      <c r="V218" s="1226"/>
      <c r="W218" s="1222"/>
      <c r="X218" s="1222"/>
      <c r="Y218" s="1222"/>
      <c r="Z218" s="1222"/>
      <c r="AA218" s="1222"/>
      <c r="AB218" s="1226"/>
      <c r="AC218" s="1222"/>
      <c r="AD218" s="1222"/>
      <c r="AE218" s="1222"/>
      <c r="AF218" s="1222"/>
      <c r="AG218" s="1222"/>
      <c r="AH218" s="1226"/>
      <c r="AI218" s="1222"/>
      <c r="AJ218" s="1222"/>
      <c r="AK218" s="1222"/>
      <c r="AL218" s="1222"/>
      <c r="AM218" s="1222"/>
      <c r="AN218" s="1222"/>
      <c r="AO218" s="1404">
        <v>4</v>
      </c>
      <c r="AP218" s="1405">
        <v>55.8</v>
      </c>
      <c r="BJ218" s="95"/>
      <c r="BK218" s="153"/>
      <c r="BL218" s="153"/>
      <c r="BM218" s="153"/>
      <c r="BN218" s="153"/>
      <c r="BO218" s="153"/>
      <c r="BP218" s="153"/>
      <c r="BQ218" s="153"/>
      <c r="BR218" s="153"/>
      <c r="BS218" s="153"/>
      <c r="BT218" s="153"/>
      <c r="BU218" s="95"/>
      <c r="BV218" s="95"/>
      <c r="BW218" s="95"/>
      <c r="BX218" s="95"/>
      <c r="BY218" s="95"/>
      <c r="BZ218" s="95"/>
    </row>
    <row r="219" spans="1:78" s="1221" customFormat="1">
      <c r="A219" s="2465"/>
      <c r="B219" s="1226"/>
      <c r="C219" s="1223"/>
      <c r="D219" s="1223"/>
      <c r="E219" s="1406"/>
      <c r="F219" s="1407"/>
      <c r="G219" s="1408"/>
      <c r="H219" s="1409"/>
      <c r="I219" s="1270"/>
      <c r="J219" s="1270"/>
      <c r="K219" s="1410"/>
      <c r="L219" s="1336"/>
      <c r="M219" s="1264" t="s">
        <v>1519</v>
      </c>
      <c r="N219" s="1309"/>
      <c r="O219" s="1309">
        <v>4.75</v>
      </c>
      <c r="P219" s="1260">
        <v>48.38</v>
      </c>
      <c r="Q219" s="1260">
        <f t="shared" ref="Q219:Q220" si="30">O219*P219</f>
        <v>229.80500000000001</v>
      </c>
      <c r="R219" s="1260"/>
      <c r="S219" s="1260"/>
      <c r="T219" s="1259">
        <f t="shared" ref="T219:T220" si="31">Q219</f>
        <v>229.80500000000001</v>
      </c>
      <c r="U219" s="1255" t="s">
        <v>1703</v>
      </c>
      <c r="V219" s="1226"/>
      <c r="W219" s="1222"/>
      <c r="X219" s="1222"/>
      <c r="Y219" s="1222"/>
      <c r="Z219" s="1222"/>
      <c r="AA219" s="1222"/>
      <c r="AB219" s="1226"/>
      <c r="AC219" s="1222"/>
      <c r="AD219" s="1222"/>
      <c r="AE219" s="1222"/>
      <c r="AF219" s="1222"/>
      <c r="AG219" s="1222"/>
      <c r="AH219" s="1226"/>
      <c r="AI219" s="1222"/>
      <c r="AJ219" s="1222"/>
      <c r="AK219" s="1222"/>
      <c r="AL219" s="1222"/>
      <c r="AM219" s="1222"/>
      <c r="AN219" s="1222"/>
      <c r="AO219" s="1404">
        <v>4.21</v>
      </c>
      <c r="AP219" s="1283">
        <v>55.8</v>
      </c>
      <c r="BJ219" s="95"/>
      <c r="BK219" s="153"/>
      <c r="BL219" s="153"/>
      <c r="BM219" s="153"/>
      <c r="BN219" s="153"/>
      <c r="BO219" s="153"/>
      <c r="BP219" s="153"/>
      <c r="BQ219" s="153"/>
      <c r="BR219" s="153"/>
      <c r="BS219" s="153"/>
      <c r="BT219" s="153"/>
      <c r="BU219" s="95"/>
      <c r="BV219" s="95"/>
      <c r="BW219" s="95"/>
      <c r="BX219" s="95"/>
      <c r="BY219" s="95"/>
      <c r="BZ219" s="95"/>
    </row>
    <row r="220" spans="1:78">
      <c r="A220" s="2465"/>
      <c r="B220" s="1226"/>
      <c r="C220" s="1223"/>
      <c r="D220" s="1223"/>
      <c r="E220" s="1406"/>
      <c r="F220" s="1407"/>
      <c r="G220" s="1408"/>
      <c r="H220" s="1409"/>
      <c r="I220" s="1270"/>
      <c r="J220" s="1270"/>
      <c r="K220" s="1410"/>
      <c r="L220" s="1336"/>
      <c r="M220" s="1264" t="s">
        <v>1704</v>
      </c>
      <c r="N220" s="1309"/>
      <c r="O220" s="1309">
        <v>1</v>
      </c>
      <c r="P220" s="1260">
        <v>48.38</v>
      </c>
      <c r="Q220" s="1260">
        <f t="shared" si="30"/>
        <v>48.38</v>
      </c>
      <c r="R220" s="1260"/>
      <c r="S220" s="1260"/>
      <c r="T220" s="1259">
        <f t="shared" si="31"/>
        <v>48.38</v>
      </c>
      <c r="U220" s="1255" t="s">
        <v>1705</v>
      </c>
      <c r="V220" s="1226"/>
      <c r="W220" s="1222"/>
      <c r="X220" s="1222"/>
      <c r="Y220" s="1222"/>
      <c r="Z220" s="1222"/>
      <c r="AA220" s="1222"/>
      <c r="AB220" s="1226"/>
      <c r="AC220" s="1222"/>
      <c r="AD220" s="1222"/>
      <c r="AE220" s="1222"/>
      <c r="AF220" s="1222"/>
      <c r="AG220" s="1222"/>
      <c r="AH220" s="1226"/>
      <c r="AI220" s="1222"/>
      <c r="AJ220" s="1222"/>
      <c r="AK220" s="1222"/>
      <c r="AL220" s="1222"/>
      <c r="AM220" s="1222"/>
      <c r="AN220" s="1222"/>
      <c r="AO220" s="1404">
        <v>4.4400000000000004</v>
      </c>
      <c r="AP220" s="1283">
        <v>55.8</v>
      </c>
    </row>
    <row r="221" spans="1:78">
      <c r="A221" s="2465"/>
      <c r="B221" s="1226"/>
      <c r="C221" s="1223"/>
      <c r="D221" s="1223"/>
      <c r="E221" s="1406"/>
      <c r="F221" s="1407"/>
      <c r="G221" s="1408"/>
      <c r="H221" s="1409"/>
      <c r="I221" s="1270"/>
      <c r="J221" s="1270"/>
      <c r="K221" s="1410"/>
      <c r="L221" s="1336"/>
      <c r="M221" s="1226"/>
      <c r="N221" s="1222"/>
      <c r="O221" s="1222"/>
      <c r="P221" s="1270"/>
      <c r="Q221" s="1270"/>
      <c r="R221" s="1270"/>
      <c r="S221" s="1270"/>
      <c r="T221" s="1327"/>
      <c r="U221" s="1314" t="s">
        <v>1706</v>
      </c>
      <c r="V221" s="1226"/>
      <c r="W221" s="1222"/>
      <c r="X221" s="1222"/>
      <c r="Y221" s="1222"/>
      <c r="Z221" s="1222"/>
      <c r="AA221" s="1222"/>
      <c r="AB221" s="1226"/>
      <c r="AC221" s="1222"/>
      <c r="AD221" s="1222"/>
      <c r="AE221" s="1222"/>
      <c r="AF221" s="1222"/>
      <c r="AG221" s="1222"/>
      <c r="AH221" s="1226"/>
      <c r="AI221" s="1222"/>
      <c r="AJ221" s="1222"/>
      <c r="AK221" s="1222"/>
      <c r="AL221" s="1222"/>
      <c r="AM221" s="1222"/>
      <c r="AN221" s="1222"/>
      <c r="AO221" s="1404">
        <v>4.71</v>
      </c>
      <c r="AP221" s="1283">
        <v>55.8</v>
      </c>
    </row>
    <row r="222" spans="1:78">
      <c r="A222" s="2465"/>
      <c r="B222" s="1226"/>
      <c r="C222" s="1223"/>
      <c r="D222" s="1223"/>
      <c r="E222" s="1406"/>
      <c r="F222" s="1407"/>
      <c r="G222" s="1408"/>
      <c r="H222" s="1409"/>
      <c r="I222" s="1270"/>
      <c r="J222" s="1270"/>
      <c r="K222" s="1410"/>
      <c r="L222" s="1336"/>
      <c r="M222" s="1226"/>
      <c r="N222" s="1222"/>
      <c r="O222" s="1222"/>
      <c r="P222" s="1270"/>
      <c r="Q222" s="1270"/>
      <c r="R222" s="1270"/>
      <c r="S222" s="1270"/>
      <c r="T222" s="1336"/>
      <c r="U222" s="1255" t="s">
        <v>1707</v>
      </c>
      <c r="V222" s="1226"/>
      <c r="W222" s="1222"/>
      <c r="X222" s="1222"/>
      <c r="Y222" s="1222"/>
      <c r="Z222" s="1222"/>
      <c r="AA222" s="1222"/>
      <c r="AB222" s="1226"/>
      <c r="AC222" s="1222"/>
      <c r="AD222" s="1222"/>
      <c r="AE222" s="1222"/>
      <c r="AF222" s="1222"/>
      <c r="AG222" s="1222"/>
      <c r="AH222" s="1226"/>
      <c r="AI222" s="1222"/>
      <c r="AJ222" s="1222"/>
      <c r="AK222" s="1222"/>
      <c r="AL222" s="1222"/>
      <c r="AM222" s="1222"/>
      <c r="AN222" s="1222"/>
      <c r="AO222" s="1404">
        <v>5.33</v>
      </c>
      <c r="AP222" s="1283">
        <v>55.8</v>
      </c>
    </row>
    <row r="223" spans="1:78">
      <c r="A223" s="2465"/>
      <c r="B223" s="1226"/>
      <c r="C223" s="1223"/>
      <c r="D223" s="1223"/>
      <c r="E223" s="1406"/>
      <c r="F223" s="1407"/>
      <c r="G223" s="1408"/>
      <c r="H223" s="1409"/>
      <c r="I223" s="1270"/>
      <c r="J223" s="1270"/>
      <c r="K223" s="1410"/>
      <c r="L223" s="1336"/>
      <c r="M223" s="1226"/>
      <c r="N223" s="1222"/>
      <c r="O223" s="1222"/>
      <c r="P223" s="1270"/>
      <c r="Q223" s="1270"/>
      <c r="R223" s="1270"/>
      <c r="S223" s="1270"/>
      <c r="T223" s="1336"/>
      <c r="U223" s="1255" t="s">
        <v>1708</v>
      </c>
      <c r="V223" s="1226"/>
      <c r="W223" s="1222"/>
      <c r="X223" s="1222"/>
      <c r="Y223" s="1222"/>
      <c r="Z223" s="1222"/>
      <c r="AA223" s="1222"/>
      <c r="AB223" s="1226"/>
      <c r="AC223" s="1222"/>
      <c r="AD223" s="1222"/>
      <c r="AE223" s="1222"/>
      <c r="AF223" s="1222"/>
      <c r="AG223" s="1222"/>
      <c r="AH223" s="1226"/>
      <c r="AI223" s="1222"/>
      <c r="AJ223" s="1222"/>
      <c r="AK223" s="1222"/>
      <c r="AL223" s="1222"/>
      <c r="AM223" s="1222"/>
      <c r="AN223" s="1222"/>
      <c r="AO223" s="1404">
        <v>6.15</v>
      </c>
      <c r="AP223" s="1283">
        <v>55.8</v>
      </c>
    </row>
    <row r="224" spans="1:78">
      <c r="A224" s="2465"/>
      <c r="B224" s="1222"/>
      <c r="C224" s="1223"/>
      <c r="D224" s="1223"/>
      <c r="E224" s="1222"/>
      <c r="F224" s="1222"/>
      <c r="G224" s="1270"/>
      <c r="H224" s="1270"/>
      <c r="I224" s="1270"/>
      <c r="J224" s="1270"/>
      <c r="K224" s="1222"/>
      <c r="L224" s="1270"/>
      <c r="M224" s="1226"/>
      <c r="N224" s="1222"/>
      <c r="O224" s="1222"/>
      <c r="P224" s="1270"/>
      <c r="Q224" s="1270"/>
      <c r="R224" s="1270"/>
      <c r="S224" s="1270"/>
      <c r="T224" s="1270"/>
      <c r="U224" s="1226"/>
      <c r="V224" s="1226"/>
      <c r="W224" s="1222"/>
      <c r="X224" s="1222"/>
      <c r="Y224" s="1222"/>
      <c r="Z224" s="1222"/>
      <c r="AA224" s="1222"/>
      <c r="AB224" s="1226"/>
      <c r="AC224" s="1222"/>
      <c r="AD224" s="1222"/>
      <c r="AE224" s="1222"/>
      <c r="AF224" s="1222"/>
      <c r="AG224" s="1222"/>
      <c r="AH224" s="1226"/>
      <c r="AI224" s="1222"/>
      <c r="AJ224" s="1222"/>
      <c r="AK224" s="1222"/>
      <c r="AL224" s="1222"/>
      <c r="AM224" s="1222"/>
      <c r="AN224" s="1222"/>
      <c r="AO224" s="1226"/>
      <c r="AP224" s="1253"/>
    </row>
    <row r="225" spans="1:61">
      <c r="A225" s="2465"/>
      <c r="B225" s="1222"/>
      <c r="C225" s="1223"/>
      <c r="D225" s="1223"/>
      <c r="E225" s="1222"/>
      <c r="F225" s="1222"/>
      <c r="G225" s="1270"/>
      <c r="H225" s="1270"/>
      <c r="I225" s="1270"/>
      <c r="J225" s="1270"/>
      <c r="K225" s="1222"/>
      <c r="L225" s="1270"/>
      <c r="M225" s="1226"/>
      <c r="N225" s="1222"/>
      <c r="O225" s="1222"/>
      <c r="P225" s="1270"/>
      <c r="Q225" s="1270"/>
      <c r="R225" s="1270"/>
      <c r="S225" s="1270"/>
      <c r="T225" s="1270"/>
      <c r="U225" s="1226"/>
      <c r="V225" s="1226"/>
      <c r="W225" s="1222"/>
      <c r="X225" s="1222"/>
      <c r="Y225" s="1222"/>
      <c r="Z225" s="1222"/>
      <c r="AA225" s="1222"/>
      <c r="AB225" s="1226"/>
      <c r="AC225" s="1222"/>
      <c r="AD225" s="1222"/>
      <c r="AE225" s="1222"/>
      <c r="AF225" s="1222"/>
      <c r="AG225" s="1222"/>
      <c r="AH225" s="1226"/>
      <c r="AI225" s="1222"/>
      <c r="AJ225" s="1222"/>
      <c r="AK225" s="1222"/>
      <c r="AL225" s="1222"/>
      <c r="AM225" s="1222"/>
      <c r="AN225" s="1222"/>
      <c r="AO225" s="1226"/>
      <c r="AP225" s="1253"/>
    </row>
    <row r="226" spans="1:61">
      <c r="A226" s="2465"/>
      <c r="B226" s="1222"/>
      <c r="C226" s="1223"/>
      <c r="D226" s="1223"/>
      <c r="E226" s="1222"/>
      <c r="F226" s="1222"/>
      <c r="G226" s="1270"/>
      <c r="H226" s="1270"/>
      <c r="I226" s="1270"/>
      <c r="J226" s="1270"/>
      <c r="K226" s="1222"/>
      <c r="L226" s="1270"/>
      <c r="M226" s="1226"/>
      <c r="N226" s="1222"/>
      <c r="O226" s="1222"/>
      <c r="P226" s="1270"/>
      <c r="Q226" s="1270"/>
      <c r="R226" s="1270"/>
      <c r="S226" s="1270"/>
      <c r="T226" s="1270"/>
      <c r="U226" s="1226"/>
      <c r="V226" s="1226"/>
      <c r="W226" s="1222"/>
      <c r="X226" s="1222"/>
      <c r="Y226" s="1222"/>
      <c r="Z226" s="1222"/>
      <c r="AA226" s="1222"/>
      <c r="AB226" s="1226"/>
      <c r="AC226" s="1222"/>
      <c r="AD226" s="1222"/>
      <c r="AE226" s="1222"/>
      <c r="AF226" s="1222"/>
      <c r="AG226" s="1222"/>
      <c r="AH226" s="1226"/>
      <c r="AI226" s="1222"/>
      <c r="AJ226" s="1222"/>
      <c r="AK226" s="1222"/>
      <c r="AL226" s="1222"/>
      <c r="AM226" s="1222"/>
      <c r="AN226" s="1222"/>
      <c r="AO226" s="1226"/>
      <c r="AP226" s="1253"/>
      <c r="BI226" s="1221" t="s">
        <v>1571</v>
      </c>
    </row>
    <row r="227" spans="1:61">
      <c r="A227" s="2465"/>
      <c r="B227" s="1222"/>
      <c r="C227" s="1223"/>
      <c r="D227" s="1223"/>
      <c r="E227" s="1222"/>
      <c r="F227" s="1222"/>
      <c r="G227" s="1270"/>
      <c r="H227" s="1270"/>
      <c r="I227" s="1270"/>
      <c r="J227" s="1270"/>
      <c r="K227" s="1222"/>
      <c r="L227" s="1270"/>
      <c r="M227" s="1226"/>
      <c r="N227" s="1222"/>
      <c r="O227" s="1222"/>
      <c r="P227" s="1270"/>
      <c r="Q227" s="1270"/>
      <c r="R227" s="1270"/>
      <c r="S227" s="1270"/>
      <c r="T227" s="1270"/>
      <c r="U227" s="1226"/>
      <c r="V227" s="1226"/>
      <c r="W227" s="1222"/>
      <c r="X227" s="1222"/>
      <c r="Y227" s="1222"/>
      <c r="Z227" s="1222"/>
      <c r="AA227" s="1222"/>
      <c r="AB227" s="1226"/>
      <c r="AC227" s="1222"/>
      <c r="AD227" s="1222"/>
      <c r="AE227" s="1222"/>
      <c r="AF227" s="1222"/>
      <c r="AG227" s="1222"/>
      <c r="AH227" s="1226"/>
      <c r="AI227" s="1222"/>
      <c r="AJ227" s="1222"/>
      <c r="AK227" s="1222"/>
      <c r="AL227" s="1222"/>
      <c r="AM227" s="1222"/>
      <c r="AN227" s="1222"/>
      <c r="AO227" s="1226"/>
      <c r="AP227" s="1253"/>
      <c r="AQ227" s="1221">
        <v>30</v>
      </c>
      <c r="BG227" s="1221">
        <v>1395.1</v>
      </c>
      <c r="BH227" s="1221">
        <v>1693.14</v>
      </c>
      <c r="BI227" s="1221">
        <f>BH227/BG227</f>
        <v>1.2136334312952477</v>
      </c>
    </row>
    <row r="228" spans="1:61">
      <c r="A228" s="2465"/>
      <c r="B228" s="1222"/>
      <c r="C228" s="1223"/>
      <c r="D228" s="1223"/>
      <c r="E228" s="1222"/>
      <c r="F228" s="1222"/>
      <c r="G228" s="1270"/>
      <c r="H228" s="1270"/>
      <c r="I228" s="1270"/>
      <c r="J228" s="1270"/>
      <c r="K228" s="1222"/>
      <c r="L228" s="1270"/>
      <c r="M228" s="1226"/>
      <c r="N228" s="1222"/>
      <c r="O228" s="1222"/>
      <c r="P228" s="1270"/>
      <c r="Q228" s="1270"/>
      <c r="R228" s="1270"/>
      <c r="S228" s="1270"/>
      <c r="T228" s="1270"/>
      <c r="U228" s="1226"/>
      <c r="V228" s="1226"/>
      <c r="W228" s="1222"/>
      <c r="X228" s="1222"/>
      <c r="Y228" s="1222"/>
      <c r="Z228" s="1222"/>
      <c r="AA228" s="1222"/>
      <c r="AB228" s="1226"/>
      <c r="AC228" s="1222"/>
      <c r="AD228" s="1222"/>
      <c r="AE228" s="1222"/>
      <c r="AF228" s="1222"/>
      <c r="AG228" s="1222"/>
      <c r="AH228" s="1226"/>
      <c r="AI228" s="1222"/>
      <c r="AJ228" s="1222"/>
      <c r="AK228" s="1222"/>
      <c r="AL228" s="1222"/>
      <c r="AM228" s="1222"/>
      <c r="AN228" s="1222"/>
      <c r="AO228" s="1226"/>
      <c r="AP228" s="1253"/>
      <c r="AQ228" s="1221">
        <v>40</v>
      </c>
      <c r="BG228" s="1221">
        <v>1416.24</v>
      </c>
      <c r="BH228" s="1221">
        <v>1728.36</v>
      </c>
      <c r="BI228" s="1221">
        <f t="shared" ref="BI228:BI232" si="32">BH228/BG228</f>
        <v>1.2203863751906456</v>
      </c>
    </row>
    <row r="229" spans="1:61">
      <c r="A229" s="2465"/>
      <c r="B229" s="1222"/>
      <c r="C229" s="1223"/>
      <c r="D229" s="1223"/>
      <c r="E229" s="1222"/>
      <c r="F229" s="1222"/>
      <c r="G229" s="1270"/>
      <c r="H229" s="1270"/>
      <c r="I229" s="1270"/>
      <c r="J229" s="1270"/>
      <c r="K229" s="1222"/>
      <c r="L229" s="1270"/>
      <c r="M229" s="1226"/>
      <c r="N229" s="1222"/>
      <c r="O229" s="1222"/>
      <c r="P229" s="1270"/>
      <c r="Q229" s="1270"/>
      <c r="R229" s="1270"/>
      <c r="S229" s="1270"/>
      <c r="T229" s="1270"/>
      <c r="U229" s="1226"/>
      <c r="V229" s="1226"/>
      <c r="W229" s="1222"/>
      <c r="X229" s="1222"/>
      <c r="Y229" s="1222"/>
      <c r="Z229" s="1222"/>
      <c r="AA229" s="1222"/>
      <c r="AB229" s="1226"/>
      <c r="AC229" s="1222"/>
      <c r="AD229" s="1222"/>
      <c r="AE229" s="1222"/>
      <c r="AF229" s="1222"/>
      <c r="AG229" s="1222"/>
      <c r="AH229" s="1226"/>
      <c r="AI229" s="1222"/>
      <c r="AJ229" s="1222"/>
      <c r="AK229" s="1222"/>
      <c r="AL229" s="1222"/>
      <c r="AM229" s="1222"/>
      <c r="AN229" s="1222"/>
      <c r="AO229" s="1226"/>
      <c r="AP229" s="1253"/>
      <c r="AQ229" s="1221">
        <v>50</v>
      </c>
      <c r="BG229" s="1221">
        <v>1483.93</v>
      </c>
      <c r="BH229" s="1221">
        <v>1808.38</v>
      </c>
      <c r="BI229" s="1221">
        <f t="shared" si="32"/>
        <v>1.2186423887919242</v>
      </c>
    </row>
    <row r="230" spans="1:61">
      <c r="A230" s="2465"/>
      <c r="B230" s="1222"/>
      <c r="C230" s="1223"/>
      <c r="D230" s="1223"/>
      <c r="E230" s="1222"/>
      <c r="F230" s="1222"/>
      <c r="G230" s="1270"/>
      <c r="H230" s="1270"/>
      <c r="I230" s="1270"/>
      <c r="J230" s="1270"/>
      <c r="K230" s="1222"/>
      <c r="L230" s="1270"/>
      <c r="M230" s="1226"/>
      <c r="N230" s="1222"/>
      <c r="O230" s="1222"/>
      <c r="P230" s="1270"/>
      <c r="Q230" s="1270"/>
      <c r="R230" s="1270"/>
      <c r="S230" s="1270"/>
      <c r="T230" s="1270"/>
      <c r="U230" s="1226"/>
      <c r="V230" s="1226"/>
      <c r="W230" s="1222"/>
      <c r="X230" s="1222"/>
      <c r="Y230" s="1222"/>
      <c r="Z230" s="1222"/>
      <c r="AA230" s="1222"/>
      <c r="AB230" s="1226"/>
      <c r="AC230" s="1222"/>
      <c r="AD230" s="1222"/>
      <c r="AE230" s="1222"/>
      <c r="AF230" s="1222"/>
      <c r="AG230" s="1222"/>
      <c r="AH230" s="1226"/>
      <c r="AI230" s="1222"/>
      <c r="AJ230" s="1222"/>
      <c r="AK230" s="1222"/>
      <c r="AL230" s="1222"/>
      <c r="AM230" s="1222"/>
      <c r="AN230" s="1222"/>
      <c r="AO230" s="1226"/>
      <c r="AP230" s="1253"/>
      <c r="AQ230" s="1221">
        <v>60</v>
      </c>
      <c r="BG230" s="1221">
        <v>1891.14</v>
      </c>
      <c r="BH230" s="1221">
        <v>2263.6</v>
      </c>
      <c r="BI230" s="1221">
        <f t="shared" si="32"/>
        <v>1.1969499878380234</v>
      </c>
    </row>
    <row r="231" spans="1:61">
      <c r="A231" s="2465"/>
      <c r="B231" s="1222"/>
      <c r="C231" s="1223"/>
      <c r="D231" s="1223"/>
      <c r="E231" s="1222"/>
      <c r="F231" s="1222"/>
      <c r="G231" s="1270"/>
      <c r="H231" s="1270"/>
      <c r="I231" s="1270"/>
      <c r="J231" s="1270"/>
      <c r="K231" s="1222"/>
      <c r="L231" s="1270"/>
      <c r="M231" s="1226"/>
      <c r="N231" s="1222"/>
      <c r="O231" s="1222"/>
      <c r="P231" s="1270"/>
      <c r="Q231" s="1270"/>
      <c r="R231" s="1270"/>
      <c r="S231" s="1270"/>
      <c r="T231" s="1270"/>
      <c r="U231" s="1226"/>
      <c r="V231" s="1226"/>
      <c r="W231" s="1222"/>
      <c r="X231" s="1222"/>
      <c r="Y231" s="1222"/>
      <c r="Z231" s="1222"/>
      <c r="AA231" s="1222"/>
      <c r="AB231" s="1226"/>
      <c r="AC231" s="1222"/>
      <c r="AD231" s="1222"/>
      <c r="AE231" s="1222"/>
      <c r="AF231" s="1222"/>
      <c r="AG231" s="1222"/>
      <c r="AH231" s="1226"/>
      <c r="AI231" s="1222"/>
      <c r="AJ231" s="1222"/>
      <c r="AK231" s="1222"/>
      <c r="AL231" s="1222"/>
      <c r="AM231" s="1222"/>
      <c r="AN231" s="1222"/>
      <c r="AO231" s="1226"/>
      <c r="AP231" s="1253"/>
      <c r="AQ231" s="1221">
        <v>75</v>
      </c>
      <c r="BG231" s="1221">
        <v>2036.78</v>
      </c>
      <c r="BH231" s="1221">
        <v>2472.4499999999998</v>
      </c>
      <c r="BI231" s="1221">
        <f t="shared" si="32"/>
        <v>1.2139013540981352</v>
      </c>
    </row>
    <row r="232" spans="1:61">
      <c r="A232" s="2465"/>
      <c r="B232" s="1222"/>
      <c r="C232" s="1223"/>
      <c r="D232" s="1223"/>
      <c r="E232" s="1222"/>
      <c r="F232" s="1222"/>
      <c r="G232" s="1270"/>
      <c r="H232" s="1270"/>
      <c r="I232" s="1270"/>
      <c r="J232" s="1270"/>
      <c r="K232" s="1222"/>
      <c r="L232" s="1270"/>
      <c r="M232" s="1226"/>
      <c r="N232" s="1222"/>
      <c r="O232" s="1222"/>
      <c r="P232" s="1270"/>
      <c r="Q232" s="1270"/>
      <c r="R232" s="1270"/>
      <c r="S232" s="1270"/>
      <c r="T232" s="1270"/>
      <c r="U232" s="1226"/>
      <c r="V232" s="1226"/>
      <c r="W232" s="1222"/>
      <c r="X232" s="1222"/>
      <c r="Y232" s="1222"/>
      <c r="Z232" s="1222"/>
      <c r="AA232" s="1222"/>
      <c r="AB232" s="1226"/>
      <c r="AC232" s="1222"/>
      <c r="AD232" s="1222"/>
      <c r="AE232" s="1222"/>
      <c r="AF232" s="1222"/>
      <c r="AG232" s="1222"/>
      <c r="AH232" s="1226"/>
      <c r="AI232" s="1222"/>
      <c r="AJ232" s="1222"/>
      <c r="AK232" s="1222"/>
      <c r="AL232" s="1222"/>
      <c r="AM232" s="1222"/>
      <c r="AN232" s="1222"/>
      <c r="AO232" s="1226"/>
      <c r="AP232" s="1253"/>
      <c r="AQ232" s="1221">
        <v>100</v>
      </c>
      <c r="BG232" s="1221">
        <v>2315.5500000000002</v>
      </c>
      <c r="BH232" s="1221">
        <v>2782.92</v>
      </c>
      <c r="BI232" s="1221">
        <f t="shared" si="32"/>
        <v>1.2018397356999417</v>
      </c>
    </row>
    <row r="233" spans="1:61">
      <c r="A233" s="2465"/>
      <c r="B233" s="1222"/>
      <c r="C233" s="1223"/>
      <c r="D233" s="1223"/>
      <c r="E233" s="1222"/>
      <c r="F233" s="1222"/>
      <c r="G233" s="1270"/>
      <c r="H233" s="1270"/>
      <c r="I233" s="1270"/>
      <c r="J233" s="1270"/>
      <c r="K233" s="1222"/>
      <c r="L233" s="1270"/>
      <c r="M233" s="1226"/>
      <c r="N233" s="1222"/>
      <c r="O233" s="1222"/>
      <c r="P233" s="1270"/>
      <c r="Q233" s="1270"/>
      <c r="R233" s="1270"/>
      <c r="S233" s="1270"/>
      <c r="T233" s="1270"/>
      <c r="U233" s="1226"/>
      <c r="V233" s="1226"/>
      <c r="W233" s="1222"/>
      <c r="X233" s="1222"/>
      <c r="Y233" s="1222"/>
      <c r="Z233" s="1222"/>
      <c r="AA233" s="1222"/>
      <c r="AB233" s="1226"/>
      <c r="AC233" s="1222"/>
      <c r="AD233" s="1222"/>
      <c r="AE233" s="1222"/>
      <c r="AF233" s="1222"/>
      <c r="AG233" s="1222"/>
      <c r="AH233" s="1226"/>
      <c r="AI233" s="1222"/>
      <c r="AJ233" s="1222"/>
      <c r="AK233" s="1222"/>
      <c r="AL233" s="1222"/>
      <c r="AM233" s="1222"/>
      <c r="AN233" s="1222"/>
      <c r="AO233" s="1226"/>
      <c r="AP233" s="1253"/>
      <c r="BI233" s="1221">
        <f>AVERAGE(BI227:BI232)</f>
        <v>1.2108922121523198</v>
      </c>
    </row>
    <row r="234" spans="1:61">
      <c r="A234" s="2465"/>
      <c r="B234" s="1222"/>
      <c r="C234" s="1223"/>
      <c r="D234" s="1223"/>
      <c r="E234" s="1222"/>
      <c r="F234" s="1222"/>
      <c r="G234" s="1270"/>
      <c r="H234" s="1270"/>
      <c r="I234" s="1270"/>
      <c r="J234" s="1270"/>
      <c r="K234" s="1222"/>
      <c r="L234" s="1270"/>
      <c r="M234" s="1226"/>
      <c r="N234" s="1222"/>
      <c r="O234" s="1222"/>
      <c r="P234" s="1270"/>
      <c r="Q234" s="1270"/>
      <c r="R234" s="1270"/>
      <c r="S234" s="1270"/>
      <c r="T234" s="1270"/>
      <c r="U234" s="1226"/>
      <c r="V234" s="1226"/>
      <c r="W234" s="1222"/>
      <c r="X234" s="1222"/>
      <c r="Y234" s="1222"/>
      <c r="Z234" s="1222"/>
      <c r="AA234" s="1222"/>
      <c r="AB234" s="1226"/>
      <c r="AC234" s="1222"/>
      <c r="AD234" s="1222"/>
      <c r="AE234" s="1222"/>
      <c r="AF234" s="1222"/>
      <c r="AG234" s="1222"/>
      <c r="AH234" s="1226"/>
      <c r="AI234" s="1222"/>
      <c r="AJ234" s="1222"/>
      <c r="AK234" s="1222"/>
      <c r="AL234" s="1222"/>
      <c r="AM234" s="1222"/>
      <c r="AN234" s="1222"/>
      <c r="AO234" s="1226"/>
      <c r="AP234" s="1253"/>
    </row>
    <row r="235" spans="1:61">
      <c r="A235" s="2465"/>
      <c r="B235" s="1222"/>
      <c r="C235" s="1223"/>
      <c r="D235" s="1223"/>
      <c r="E235" s="1222"/>
      <c r="F235" s="1222"/>
      <c r="G235" s="1270"/>
      <c r="H235" s="1270"/>
      <c r="I235" s="1270"/>
      <c r="J235" s="1270"/>
      <c r="K235" s="1222"/>
      <c r="L235" s="1270"/>
      <c r="M235" s="1226"/>
      <c r="N235" s="1222"/>
      <c r="O235" s="1222"/>
      <c r="P235" s="1270"/>
      <c r="Q235" s="1270"/>
      <c r="R235" s="1270"/>
      <c r="S235" s="1270"/>
      <c r="T235" s="1270"/>
      <c r="U235" s="1226"/>
      <c r="V235" s="1226"/>
      <c r="W235" s="1222"/>
      <c r="X235" s="1222"/>
      <c r="Y235" s="1222"/>
      <c r="Z235" s="1222"/>
      <c r="AA235" s="1222"/>
      <c r="AB235" s="1226"/>
      <c r="AC235" s="1222"/>
      <c r="AD235" s="1222"/>
      <c r="AE235" s="1222"/>
      <c r="AF235" s="1222"/>
      <c r="AG235" s="1222"/>
      <c r="AH235" s="1226"/>
      <c r="AI235" s="1222"/>
      <c r="AJ235" s="1222"/>
      <c r="AK235" s="1222"/>
      <c r="AL235" s="1222"/>
      <c r="AM235" s="1222"/>
      <c r="AN235" s="1222"/>
      <c r="AO235" s="1226"/>
      <c r="AP235" s="1253"/>
    </row>
    <row r="236" spans="1:61">
      <c r="A236" s="2465"/>
      <c r="B236" s="1222"/>
      <c r="C236" s="1223"/>
      <c r="D236" s="1223"/>
      <c r="E236" s="1222"/>
      <c r="F236" s="1222"/>
      <c r="G236" s="1270"/>
      <c r="H236" s="1270"/>
      <c r="I236" s="1270"/>
      <c r="J236" s="1270"/>
      <c r="K236" s="1222"/>
      <c r="L236" s="1270"/>
      <c r="M236" s="1226"/>
      <c r="N236" s="1222"/>
      <c r="O236" s="1222"/>
      <c r="P236" s="1270"/>
      <c r="Q236" s="1270"/>
      <c r="R236" s="1270"/>
      <c r="S236" s="1270"/>
      <c r="T236" s="1270"/>
      <c r="U236" s="1226"/>
      <c r="V236" s="1226"/>
      <c r="W236" s="1222"/>
      <c r="X236" s="1222"/>
      <c r="Y236" s="1222"/>
      <c r="Z236" s="1222"/>
      <c r="AA236" s="1222"/>
      <c r="AB236" s="1226"/>
      <c r="AC236" s="1222"/>
      <c r="AD236" s="1222"/>
      <c r="AE236" s="1222"/>
      <c r="AF236" s="1222"/>
      <c r="AG236" s="1222"/>
      <c r="AH236" s="1226"/>
      <c r="AI236" s="1222"/>
      <c r="AJ236" s="1222"/>
      <c r="AK236" s="1222"/>
      <c r="AL236" s="1222"/>
      <c r="AM236" s="1222"/>
      <c r="AN236" s="1222"/>
      <c r="AO236" s="1226"/>
      <c r="AP236" s="1253"/>
    </row>
    <row r="237" spans="1:61" ht="15" thickBot="1">
      <c r="A237" s="2465"/>
      <c r="B237" s="1222"/>
      <c r="C237" s="1223"/>
      <c r="D237" s="1223"/>
      <c r="E237" s="1222"/>
      <c r="F237" s="1222"/>
      <c r="G237" s="1270"/>
      <c r="H237" s="1270"/>
      <c r="I237" s="1270"/>
      <c r="J237" s="1270"/>
      <c r="K237" s="1222"/>
      <c r="L237" s="1270"/>
      <c r="M237" s="1226"/>
      <c r="N237" s="1222"/>
      <c r="O237" s="1222"/>
      <c r="P237" s="1270"/>
      <c r="Q237" s="1270"/>
      <c r="R237" s="1270"/>
      <c r="S237" s="1270"/>
      <c r="T237" s="1270"/>
      <c r="U237" s="1226"/>
      <c r="V237" s="1226"/>
      <c r="W237" s="1222"/>
      <c r="X237" s="1222"/>
      <c r="Y237" s="1222"/>
      <c r="Z237" s="1222"/>
      <c r="AA237" s="1222"/>
      <c r="AB237" s="1226"/>
      <c r="AC237" s="1222"/>
      <c r="AD237" s="1222"/>
      <c r="AE237" s="1222"/>
      <c r="AF237" s="1222"/>
      <c r="AG237" s="1222"/>
      <c r="AH237" s="1226"/>
      <c r="AI237" s="1222"/>
      <c r="AJ237" s="1222"/>
      <c r="AK237" s="1222"/>
      <c r="AL237" s="1222"/>
      <c r="AM237" s="1222"/>
      <c r="AN237" s="1222"/>
      <c r="AO237" s="1226"/>
      <c r="AP237" s="1253"/>
    </row>
    <row r="238" spans="1:61" ht="18.600000000000001" thickBot="1">
      <c r="A238" s="1272"/>
      <c r="B238" s="1242"/>
      <c r="C238" s="1243"/>
      <c r="D238" s="1243"/>
      <c r="E238" s="1242"/>
      <c r="F238" s="1242"/>
      <c r="G238" s="1244"/>
      <c r="H238" s="1244"/>
      <c r="I238" s="1244"/>
      <c r="J238" s="1244"/>
      <c r="K238" s="1242"/>
      <c r="L238" s="1244"/>
      <c r="M238" s="1245"/>
      <c r="N238" s="1242"/>
      <c r="O238" s="1242"/>
      <c r="P238" s="1244"/>
      <c r="Q238" s="1244"/>
      <c r="R238" s="1244"/>
      <c r="S238" s="1244"/>
      <c r="T238" s="1244"/>
      <c r="U238" s="1245"/>
      <c r="V238" s="1245"/>
      <c r="W238" s="1242"/>
      <c r="X238" s="1242"/>
      <c r="Y238" s="1242"/>
      <c r="Z238" s="1242"/>
      <c r="AA238" s="1242"/>
      <c r="AB238" s="1245"/>
      <c r="AC238" s="1242"/>
      <c r="AD238" s="1242"/>
      <c r="AE238" s="1242"/>
      <c r="AF238" s="1242"/>
      <c r="AG238" s="1242"/>
      <c r="AH238" s="1245"/>
      <c r="AI238" s="1242"/>
      <c r="AJ238" s="1242"/>
      <c r="AK238" s="1242"/>
      <c r="AL238" s="1242"/>
      <c r="AM238" s="1242"/>
      <c r="AN238" s="1242"/>
      <c r="AO238" s="1245"/>
      <c r="AP238" s="1246"/>
      <c r="AQ238" s="1221">
        <v>30</v>
      </c>
      <c r="BG238" s="1221">
        <v>783.08</v>
      </c>
      <c r="BH238" s="1221">
        <v>1001.91</v>
      </c>
      <c r="BI238" s="1221">
        <f t="shared" ref="BI238:BI244" si="33">BH238/BG238</f>
        <v>1.2794478214230984</v>
      </c>
    </row>
    <row r="239" spans="1:61">
      <c r="A239" s="2464" t="s">
        <v>1344</v>
      </c>
      <c r="B239" s="1261" t="s">
        <v>1709</v>
      </c>
      <c r="C239" s="1352" t="s">
        <v>1494</v>
      </c>
      <c r="D239" s="1352" t="s">
        <v>1433</v>
      </c>
      <c r="E239" s="1411">
        <f>AVERAGE(AO239:AO242)</f>
        <v>4.4137500000000003</v>
      </c>
      <c r="F239" s="1393" t="s">
        <v>1710</v>
      </c>
      <c r="G239" s="1412">
        <f>AP239*BQ22</f>
        <v>64.61891268502184</v>
      </c>
      <c r="H239" s="1413">
        <f>E239*$G$239</f>
        <v>285.21172586351514</v>
      </c>
      <c r="I239" s="1414"/>
      <c r="J239" s="1415"/>
      <c r="K239" s="1341">
        <v>0.26</v>
      </c>
      <c r="L239" s="1416">
        <f>E239*$G$239*(1+$K$239)</f>
        <v>359.3667745880291</v>
      </c>
      <c r="M239" s="1264" t="s">
        <v>1698</v>
      </c>
      <c r="N239" s="1309"/>
      <c r="O239" s="1381">
        <v>2.25</v>
      </c>
      <c r="P239" s="1260">
        <v>59</v>
      </c>
      <c r="Q239" s="1260">
        <f>O239*P239</f>
        <v>132.75</v>
      </c>
      <c r="R239" s="1260"/>
      <c r="S239" s="1260"/>
      <c r="T239" s="1260">
        <f>Q239</f>
        <v>132.75</v>
      </c>
      <c r="U239" s="1255" t="s">
        <v>1711</v>
      </c>
      <c r="V239" s="1226"/>
      <c r="W239" s="1222"/>
      <c r="X239" s="1222"/>
      <c r="Y239" s="1222"/>
      <c r="Z239" s="1222"/>
      <c r="AA239" s="1222"/>
      <c r="AB239" s="1226"/>
      <c r="AC239" s="1222"/>
      <c r="AD239" s="1222"/>
      <c r="AE239" s="1222"/>
      <c r="AF239" s="1222"/>
      <c r="AG239" s="1222"/>
      <c r="AH239" s="1226"/>
      <c r="AI239" s="1222"/>
      <c r="AJ239" s="1222"/>
      <c r="AK239" s="1222"/>
      <c r="AL239" s="1222"/>
      <c r="AM239" s="1222"/>
      <c r="AN239" s="1222"/>
      <c r="AO239" s="1282">
        <v>4</v>
      </c>
      <c r="AP239" s="1283">
        <v>55.8</v>
      </c>
      <c r="AQ239" s="1221">
        <v>40</v>
      </c>
      <c r="BG239" s="1221">
        <v>1135.8800000000001</v>
      </c>
      <c r="BH239" s="1221">
        <v>1393.91</v>
      </c>
      <c r="BI239" s="1221">
        <f t="shared" si="33"/>
        <v>1.2271630806071063</v>
      </c>
    </row>
    <row r="240" spans="1:61">
      <c r="A240" s="2465"/>
      <c r="B240" s="1417"/>
      <c r="C240" s="1418"/>
      <c r="D240" s="1418"/>
      <c r="E240" s="1417"/>
      <c r="F240" s="1419"/>
      <c r="G240" s="1420"/>
      <c r="H240" s="1421"/>
      <c r="I240" s="1422"/>
      <c r="J240" s="1422"/>
      <c r="K240" s="1423"/>
      <c r="L240" s="1424"/>
      <c r="M240" s="1264" t="s">
        <v>1519</v>
      </c>
      <c r="N240" s="1425"/>
      <c r="O240" s="1425"/>
      <c r="P240" s="1260"/>
      <c r="Q240" s="1259"/>
      <c r="R240" s="1259"/>
      <c r="S240" s="1259"/>
      <c r="T240" s="1276">
        <v>967</v>
      </c>
      <c r="U240" s="1255" t="s">
        <v>1712</v>
      </c>
      <c r="V240" s="1226"/>
      <c r="W240" s="1222"/>
      <c r="X240" s="1222"/>
      <c r="Y240" s="1222"/>
      <c r="Z240" s="1222"/>
      <c r="AA240" s="1222"/>
      <c r="AB240" s="1226"/>
      <c r="AC240" s="1222"/>
      <c r="AD240" s="1222"/>
      <c r="AE240" s="1222"/>
      <c r="AF240" s="1222"/>
      <c r="AG240" s="1222"/>
      <c r="AH240" s="1226"/>
      <c r="AI240" s="1222"/>
      <c r="AJ240" s="1222"/>
      <c r="AK240" s="1222"/>
      <c r="AL240" s="1222"/>
      <c r="AM240" s="1222"/>
      <c r="AN240" s="1222"/>
      <c r="AO240" s="1282">
        <v>4.2110000000000003</v>
      </c>
      <c r="AP240" s="1283">
        <v>55.8</v>
      </c>
      <c r="AQ240" s="1221">
        <v>52</v>
      </c>
      <c r="BG240" s="1221">
        <v>1221.5</v>
      </c>
      <c r="BH240" s="1221">
        <v>1502.74</v>
      </c>
      <c r="BI240" s="1221">
        <f t="shared" si="33"/>
        <v>1.2302415063446581</v>
      </c>
    </row>
    <row r="241" spans="1:61">
      <c r="A241" s="2465"/>
      <c r="B241" s="1426"/>
      <c r="C241" s="1427"/>
      <c r="D241" s="1427"/>
      <c r="E241" s="1426"/>
      <c r="F241" s="1428"/>
      <c r="G241" s="1429"/>
      <c r="H241" s="1430"/>
      <c r="I241" s="1431"/>
      <c r="J241" s="1431"/>
      <c r="K241" s="1432"/>
      <c r="L241" s="1433"/>
      <c r="M241" s="1262"/>
      <c r="N241" s="1263"/>
      <c r="O241" s="1263"/>
      <c r="P241" s="1358"/>
      <c r="Q241" s="1358"/>
      <c r="R241" s="1358"/>
      <c r="S241" s="1358"/>
      <c r="T241" s="1327"/>
      <c r="U241" s="1255" t="s">
        <v>1713</v>
      </c>
      <c r="V241" s="1226"/>
      <c r="W241" s="1222"/>
      <c r="X241" s="1222"/>
      <c r="Y241" s="1222"/>
      <c r="Z241" s="1222"/>
      <c r="AA241" s="1222"/>
      <c r="AB241" s="1226"/>
      <c r="AC241" s="1222"/>
      <c r="AD241" s="1222"/>
      <c r="AE241" s="1222"/>
      <c r="AF241" s="1222"/>
      <c r="AG241" s="1222"/>
      <c r="AH241" s="1226"/>
      <c r="AI241" s="1222"/>
      <c r="AJ241" s="1222"/>
      <c r="AK241" s="1222"/>
      <c r="AL241" s="1222"/>
      <c r="AM241" s="1222"/>
      <c r="AN241" s="1222"/>
      <c r="AO241" s="1282">
        <v>4.444</v>
      </c>
      <c r="AP241" s="1283">
        <v>55.8</v>
      </c>
      <c r="AQ241" s="1221">
        <v>66</v>
      </c>
      <c r="BG241" s="1221">
        <v>1322.3</v>
      </c>
      <c r="BH241" s="1221">
        <v>1614.74</v>
      </c>
      <c r="BI241" s="1221">
        <f t="shared" si="33"/>
        <v>1.2211600998260608</v>
      </c>
    </row>
    <row r="242" spans="1:61">
      <c r="A242" s="2465"/>
      <c r="B242" s="1426"/>
      <c r="C242" s="1427"/>
      <c r="D242" s="1427"/>
      <c r="E242" s="1426"/>
      <c r="F242" s="1428"/>
      <c r="G242" s="1429"/>
      <c r="H242" s="1430"/>
      <c r="I242" s="1431"/>
      <c r="J242" s="1431"/>
      <c r="K242" s="1432"/>
      <c r="L242" s="1433"/>
      <c r="M242" s="1226"/>
      <c r="N242" s="1222"/>
      <c r="O242" s="1222"/>
      <c r="P242" s="1270"/>
      <c r="Q242" s="1270"/>
      <c r="R242" s="1270"/>
      <c r="S242" s="1270"/>
      <c r="T242" s="1336"/>
      <c r="U242" s="1314" t="s">
        <v>1714</v>
      </c>
      <c r="V242" s="1226"/>
      <c r="W242" s="1222"/>
      <c r="X242" s="1222"/>
      <c r="Y242" s="1222"/>
      <c r="Z242" s="1222"/>
      <c r="AA242" s="1222"/>
      <c r="AB242" s="1226"/>
      <c r="AC242" s="1222"/>
      <c r="AD242" s="1222"/>
      <c r="AE242" s="1222"/>
      <c r="AF242" s="1222"/>
      <c r="AG242" s="1222"/>
      <c r="AH242" s="1226"/>
      <c r="AI242" s="1222"/>
      <c r="AJ242" s="1222"/>
      <c r="AK242" s="1222"/>
      <c r="AL242" s="1222"/>
      <c r="AM242" s="1222"/>
      <c r="AN242" s="1222"/>
      <c r="AO242" s="1264">
        <v>5</v>
      </c>
      <c r="AP242" s="1283">
        <v>55.8</v>
      </c>
      <c r="AQ242" s="1221">
        <v>80</v>
      </c>
      <c r="BG242" s="1221">
        <v>1696.73</v>
      </c>
      <c r="BH242" s="1221">
        <v>2032.38</v>
      </c>
      <c r="BI242" s="1221">
        <f t="shared" si="33"/>
        <v>1.1978216923140395</v>
      </c>
    </row>
    <row r="243" spans="1:61">
      <c r="A243" s="2465"/>
      <c r="B243" s="1222"/>
      <c r="C243" s="1223"/>
      <c r="D243" s="1223"/>
      <c r="E243" s="1222"/>
      <c r="F243" s="1222"/>
      <c r="G243" s="1270"/>
      <c r="H243" s="1270"/>
      <c r="I243" s="1270"/>
      <c r="J243" s="1270"/>
      <c r="K243" s="1222"/>
      <c r="L243" s="1270"/>
      <c r="M243" s="1226"/>
      <c r="N243" s="1222"/>
      <c r="O243" s="1222"/>
      <c r="P243" s="1270"/>
      <c r="Q243" s="1270"/>
      <c r="R243" s="1270"/>
      <c r="S243" s="1270"/>
      <c r="T243" s="1270"/>
      <c r="U243" s="1226"/>
      <c r="V243" s="1226"/>
      <c r="W243" s="1222"/>
      <c r="X243" s="1222"/>
      <c r="Y243" s="1222"/>
      <c r="Z243" s="1222"/>
      <c r="AA243" s="1222"/>
      <c r="AB243" s="1226"/>
      <c r="AC243" s="1222"/>
      <c r="AD243" s="1222"/>
      <c r="AE243" s="1222"/>
      <c r="AF243" s="1222"/>
      <c r="AG243" s="1222"/>
      <c r="AH243" s="1226"/>
      <c r="AI243" s="1222"/>
      <c r="AJ243" s="1222"/>
      <c r="AK243" s="1222"/>
      <c r="AL243" s="1222"/>
      <c r="AM243" s="1222"/>
      <c r="AN243" s="1222"/>
      <c r="AO243" s="1226"/>
      <c r="AP243" s="1253"/>
      <c r="AQ243" s="1221">
        <v>120</v>
      </c>
      <c r="BG243" s="1221">
        <v>1891.32</v>
      </c>
      <c r="BH243" s="1221">
        <v>2279.62</v>
      </c>
      <c r="BI243" s="1221">
        <f t="shared" si="33"/>
        <v>1.2053063468900027</v>
      </c>
    </row>
    <row r="244" spans="1:61">
      <c r="A244" s="2465"/>
      <c r="B244" s="1222"/>
      <c r="C244" s="1223"/>
      <c r="D244" s="1223"/>
      <c r="E244" s="1222"/>
      <c r="F244" s="1222"/>
      <c r="G244" s="1270"/>
      <c r="H244" s="1270"/>
      <c r="I244" s="1270"/>
      <c r="J244" s="1270"/>
      <c r="K244" s="1222"/>
      <c r="L244" s="1270"/>
      <c r="M244" s="1226"/>
      <c r="N244" s="1222"/>
      <c r="O244" s="1222"/>
      <c r="P244" s="1270"/>
      <c r="Q244" s="1270"/>
      <c r="R244" s="1270"/>
      <c r="S244" s="1270"/>
      <c r="T244" s="1270"/>
      <c r="U244" s="1226"/>
      <c r="V244" s="1226"/>
      <c r="W244" s="1222"/>
      <c r="X244" s="1222"/>
      <c r="Y244" s="1222"/>
      <c r="Z244" s="1222"/>
      <c r="AA244" s="1222"/>
      <c r="AB244" s="1226"/>
      <c r="AC244" s="1222"/>
      <c r="AD244" s="1222"/>
      <c r="AE244" s="1222"/>
      <c r="AF244" s="1222"/>
      <c r="AG244" s="1222"/>
      <c r="AH244" s="1226"/>
      <c r="AI244" s="1222"/>
      <c r="AJ244" s="1222"/>
      <c r="AK244" s="1222"/>
      <c r="AL244" s="1222"/>
      <c r="AM244" s="1222"/>
      <c r="AN244" s="1222"/>
      <c r="AO244" s="1226"/>
      <c r="AP244" s="1253"/>
      <c r="BG244" s="1221">
        <v>2523.52</v>
      </c>
      <c r="BH244" s="1221">
        <v>3001.28</v>
      </c>
      <c r="BI244" s="1221">
        <f t="shared" si="33"/>
        <v>1.1893228506213545</v>
      </c>
    </row>
    <row r="245" spans="1:61">
      <c r="A245" s="2465"/>
      <c r="B245" s="1222"/>
      <c r="C245" s="1223"/>
      <c r="D245" s="1223"/>
      <c r="E245" s="1222"/>
      <c r="F245" s="1222"/>
      <c r="G245" s="1270"/>
      <c r="H245" s="1270"/>
      <c r="I245" s="1270"/>
      <c r="J245" s="1270"/>
      <c r="K245" s="1222"/>
      <c r="L245" s="1270"/>
      <c r="M245" s="1226"/>
      <c r="N245" s="1222"/>
      <c r="O245" s="1222"/>
      <c r="P245" s="1270"/>
      <c r="Q245" s="1270"/>
      <c r="R245" s="1270"/>
      <c r="S245" s="1270"/>
      <c r="T245" s="1270"/>
      <c r="U245" s="1226"/>
      <c r="V245" s="1226"/>
      <c r="W245" s="1222"/>
      <c r="X245" s="1222"/>
      <c r="Y245" s="1222"/>
      <c r="Z245" s="1222"/>
      <c r="AA245" s="1222"/>
      <c r="AB245" s="1226"/>
      <c r="AC245" s="1222"/>
      <c r="AD245" s="1222"/>
      <c r="AE245" s="1222"/>
      <c r="AF245" s="1222"/>
      <c r="AG245" s="1222"/>
      <c r="AH245" s="1226"/>
      <c r="AI245" s="1222"/>
      <c r="AJ245" s="1222"/>
      <c r="AK245" s="1222"/>
      <c r="AL245" s="1222"/>
      <c r="AM245" s="1222"/>
      <c r="AN245" s="1222"/>
      <c r="AO245" s="1226"/>
      <c r="AP245" s="1253"/>
      <c r="BI245" s="1221">
        <f>AVERAGE(BI238:BI244)</f>
        <v>1.2214947711466171</v>
      </c>
    </row>
    <row r="246" spans="1:61">
      <c r="A246" s="2465"/>
      <c r="B246" s="1222"/>
      <c r="C246" s="1223"/>
      <c r="D246" s="1223"/>
      <c r="E246" s="1222"/>
      <c r="F246" s="1222"/>
      <c r="G246" s="1270"/>
      <c r="H246" s="1270"/>
      <c r="I246" s="1270"/>
      <c r="J246" s="1270"/>
      <c r="K246" s="1222"/>
      <c r="L246" s="1270"/>
      <c r="M246" s="1226"/>
      <c r="N246" s="1222"/>
      <c r="O246" s="1222"/>
      <c r="P246" s="1270"/>
      <c r="Q246" s="1270"/>
      <c r="R246" s="1270"/>
      <c r="S246" s="1270"/>
      <c r="T246" s="1270"/>
      <c r="U246" s="1226"/>
      <c r="V246" s="1226"/>
      <c r="W246" s="1222"/>
      <c r="X246" s="1222"/>
      <c r="Y246" s="1222"/>
      <c r="Z246" s="1222"/>
      <c r="AA246" s="1222"/>
      <c r="AB246" s="1226"/>
      <c r="AC246" s="1222"/>
      <c r="AD246" s="1222"/>
      <c r="AE246" s="1222"/>
      <c r="AF246" s="1222"/>
      <c r="AG246" s="1222"/>
      <c r="AH246" s="1226"/>
      <c r="AI246" s="1222"/>
      <c r="AJ246" s="1222"/>
      <c r="AK246" s="1222"/>
      <c r="AL246" s="1222"/>
      <c r="AM246" s="1222"/>
      <c r="AN246" s="1222"/>
      <c r="AO246" s="1226"/>
      <c r="AP246" s="1253"/>
    </row>
    <row r="247" spans="1:61" ht="9" customHeight="1">
      <c r="A247" s="1293"/>
      <c r="B247" s="1222"/>
      <c r="C247" s="1223"/>
      <c r="D247" s="1223"/>
      <c r="E247" s="1222"/>
      <c r="F247" s="1222"/>
      <c r="G247" s="1270"/>
      <c r="H247" s="1270"/>
      <c r="I247" s="1270"/>
      <c r="J247" s="1270"/>
      <c r="K247" s="1222"/>
      <c r="L247" s="1270"/>
      <c r="M247" s="1226"/>
      <c r="N247" s="1222"/>
      <c r="O247" s="1222"/>
      <c r="P247" s="1270"/>
      <c r="Q247" s="1270"/>
      <c r="R247" s="1270"/>
      <c r="S247" s="1270"/>
      <c r="T247" s="1270"/>
      <c r="U247" s="1226"/>
      <c r="V247" s="1226"/>
      <c r="W247" s="1222"/>
      <c r="X247" s="1222"/>
      <c r="Y247" s="1222"/>
      <c r="Z247" s="1222"/>
      <c r="AA247" s="1222"/>
      <c r="AB247" s="1226"/>
      <c r="AC247" s="1222"/>
      <c r="AD247" s="1222"/>
      <c r="AE247" s="1222"/>
      <c r="AF247" s="1222"/>
      <c r="AG247" s="1222"/>
      <c r="AH247" s="1226"/>
      <c r="AI247" s="1222"/>
      <c r="AJ247" s="1222"/>
      <c r="AK247" s="1222"/>
      <c r="AL247" s="1222"/>
      <c r="AM247" s="1222"/>
      <c r="AN247" s="1222"/>
      <c r="AO247" s="1226"/>
      <c r="AP247" s="1253"/>
    </row>
    <row r="248" spans="1:61" ht="18.600000000000001" thickBot="1">
      <c r="A248" s="1293"/>
      <c r="B248" s="1222"/>
      <c r="C248" s="1223"/>
      <c r="D248" s="1223"/>
      <c r="E248" s="1222"/>
      <c r="F248" s="1222"/>
      <c r="G248" s="1270"/>
      <c r="H248" s="1270"/>
      <c r="I248" s="1270"/>
      <c r="J248" s="1270"/>
      <c r="K248" s="1222"/>
      <c r="L248" s="1270"/>
      <c r="M248" s="1226"/>
      <c r="N248" s="1222"/>
      <c r="O248" s="1222"/>
      <c r="P248" s="1270"/>
      <c r="Q248" s="1270"/>
      <c r="R248" s="1270"/>
      <c r="S248" s="1270"/>
      <c r="T248" s="1270"/>
      <c r="U248" s="1226"/>
      <c r="V248" s="1226"/>
      <c r="W248" s="1222"/>
      <c r="X248" s="1222"/>
      <c r="Y248" s="1222"/>
      <c r="Z248" s="1222"/>
      <c r="AA248" s="1222"/>
      <c r="AB248" s="1226"/>
      <c r="AC248" s="1222"/>
      <c r="AD248" s="1222"/>
      <c r="AE248" s="1222"/>
      <c r="AF248" s="1222"/>
      <c r="AG248" s="1222"/>
      <c r="AH248" s="1226"/>
      <c r="AI248" s="1222"/>
      <c r="AJ248" s="1222"/>
      <c r="AK248" s="1222"/>
      <c r="AL248" s="1222"/>
      <c r="AM248" s="1222"/>
      <c r="AN248" s="1222"/>
      <c r="AO248" s="1226"/>
      <c r="AP248" s="1253"/>
      <c r="AQ248" s="1221">
        <v>3.2</v>
      </c>
      <c r="BI248" s="1221" t="s">
        <v>1571</v>
      </c>
    </row>
    <row r="249" spans="1:61" ht="18.600000000000001" thickBot="1">
      <c r="A249" s="1272"/>
      <c r="B249" s="1242"/>
      <c r="C249" s="1243"/>
      <c r="D249" s="1243"/>
      <c r="E249" s="1242"/>
      <c r="F249" s="1242"/>
      <c r="G249" s="1244"/>
      <c r="H249" s="1244"/>
      <c r="I249" s="1244"/>
      <c r="J249" s="1244"/>
      <c r="K249" s="1242"/>
      <c r="L249" s="1244"/>
      <c r="M249" s="1245"/>
      <c r="N249" s="1242"/>
      <c r="O249" s="1242"/>
      <c r="P249" s="1244"/>
      <c r="Q249" s="1244"/>
      <c r="R249" s="1244"/>
      <c r="S249" s="1244"/>
      <c r="T249" s="1244"/>
      <c r="U249" s="1245"/>
      <c r="V249" s="1245"/>
      <c r="W249" s="1242"/>
      <c r="X249" s="1242"/>
      <c r="Y249" s="1242"/>
      <c r="Z249" s="1242"/>
      <c r="AA249" s="1242"/>
      <c r="AB249" s="1245"/>
      <c r="AC249" s="1242"/>
      <c r="AD249" s="1242"/>
      <c r="AE249" s="1242"/>
      <c r="AF249" s="1242"/>
      <c r="AG249" s="1242"/>
      <c r="AH249" s="1245"/>
      <c r="AI249" s="1242"/>
      <c r="AJ249" s="1242"/>
      <c r="AK249" s="1242"/>
      <c r="AL249" s="1242"/>
      <c r="AM249" s="1242"/>
      <c r="AN249" s="1242"/>
      <c r="AO249" s="1245"/>
      <c r="AP249" s="1246"/>
      <c r="AQ249" s="1221">
        <v>6.4</v>
      </c>
      <c r="BG249" s="1221">
        <v>779.1</v>
      </c>
      <c r="BH249" s="1221">
        <v>1015.54</v>
      </c>
      <c r="BI249" s="1221">
        <f>BH249/BG249</f>
        <v>1.3034783724810679</v>
      </c>
    </row>
    <row r="250" spans="1:61">
      <c r="A250" s="2468" t="s">
        <v>1359</v>
      </c>
      <c r="B250" s="1297" t="s">
        <v>1570</v>
      </c>
      <c r="C250" s="1434" t="s">
        <v>1494</v>
      </c>
      <c r="D250" s="1434" t="s">
        <v>1519</v>
      </c>
      <c r="E250" s="1248">
        <f>SUM(V250:V251)</f>
        <v>4.25</v>
      </c>
      <c r="F250" s="1249"/>
      <c r="G250" s="2483">
        <f>W250*BQ22</f>
        <v>47.06295002722738</v>
      </c>
      <c r="H250" s="1435">
        <f>E250*G250</f>
        <v>200.01753761571638</v>
      </c>
      <c r="I250" s="1258">
        <f>Y252</f>
        <v>153.58000000000001</v>
      </c>
      <c r="J250" s="1357"/>
      <c r="K250" s="2471">
        <v>0.25</v>
      </c>
      <c r="L250" s="1436">
        <f>((E250*$G$250)+I250)*(1+K250)</f>
        <v>441.99692201964552</v>
      </c>
      <c r="M250" s="1226"/>
      <c r="N250" s="1222"/>
      <c r="O250" s="1222"/>
      <c r="P250" s="1270"/>
      <c r="Q250" s="1270"/>
      <c r="R250" s="1270"/>
      <c r="S250" s="1270"/>
      <c r="T250" s="1270"/>
      <c r="U250" s="1319" t="s">
        <v>1715</v>
      </c>
      <c r="V250" s="1264">
        <v>3.25</v>
      </c>
      <c r="W250" s="1309">
        <v>40.64</v>
      </c>
      <c r="X250" s="1362"/>
      <c r="Y250" s="1362"/>
      <c r="Z250" s="1362"/>
      <c r="AA250" s="1437"/>
      <c r="AB250" s="1226"/>
      <c r="AC250" s="1222"/>
      <c r="AD250" s="1222"/>
      <c r="AE250" s="1222"/>
      <c r="AF250" s="1222"/>
      <c r="AG250" s="1222"/>
      <c r="AH250" s="1226"/>
      <c r="AI250" s="1222"/>
      <c r="AJ250" s="1222"/>
      <c r="AK250" s="1222"/>
      <c r="AL250" s="1222"/>
      <c r="AM250" s="1222"/>
      <c r="AN250" s="1222"/>
      <c r="AO250" s="1226"/>
      <c r="AP250" s="1253"/>
      <c r="AQ250" s="1221">
        <v>8.4</v>
      </c>
      <c r="BG250" s="1221">
        <v>1102.6400000000001</v>
      </c>
      <c r="BH250" s="1221">
        <v>1386.76</v>
      </c>
      <c r="BI250" s="1221">
        <f t="shared" ref="BI250:BI252" si="34">BH250/BG250</f>
        <v>1.2576724951026625</v>
      </c>
    </row>
    <row r="251" spans="1:61">
      <c r="A251" s="2469"/>
      <c r="B251" s="1297" t="s">
        <v>1716</v>
      </c>
      <c r="C251" s="1255" t="s">
        <v>1494</v>
      </c>
      <c r="D251" s="1255" t="s">
        <v>1519</v>
      </c>
      <c r="E251" s="1249">
        <f>V253</f>
        <v>3.7</v>
      </c>
      <c r="F251" s="1249"/>
      <c r="G251" s="2483"/>
      <c r="H251" s="1435">
        <f>E251*G250</f>
        <v>174.13291510074131</v>
      </c>
      <c r="I251" s="1258">
        <f>Y253</f>
        <v>115</v>
      </c>
      <c r="J251" s="1357"/>
      <c r="K251" s="2473"/>
      <c r="L251" s="1436">
        <f>((E251*$G$250)+I251)*(1+K250)</f>
        <v>361.41614387592665</v>
      </c>
      <c r="M251" s="1226"/>
      <c r="N251" s="1222"/>
      <c r="O251" s="1222"/>
      <c r="P251" s="1270"/>
      <c r="Q251" s="1270"/>
      <c r="R251" s="1270"/>
      <c r="S251" s="1270"/>
      <c r="T251" s="1270"/>
      <c r="U251" s="1319" t="s">
        <v>1717</v>
      </c>
      <c r="V251" s="1264">
        <v>1</v>
      </c>
      <c r="W251" s="1309">
        <v>40.64</v>
      </c>
      <c r="X251" s="1309"/>
      <c r="Y251" s="1309"/>
      <c r="Z251" s="1309"/>
      <c r="AA251" s="1265"/>
      <c r="AB251" s="1226"/>
      <c r="AC251" s="1222"/>
      <c r="AD251" s="1222"/>
      <c r="AE251" s="1222"/>
      <c r="AF251" s="1222"/>
      <c r="AG251" s="1222"/>
      <c r="AH251" s="1226"/>
      <c r="AI251" s="1222"/>
      <c r="AJ251" s="1222"/>
      <c r="AK251" s="1222"/>
      <c r="AL251" s="1222"/>
      <c r="AM251" s="1222"/>
      <c r="AN251" s="1222"/>
      <c r="AO251" s="1226"/>
      <c r="AP251" s="1253"/>
      <c r="AQ251" s="1221">
        <v>9.5</v>
      </c>
      <c r="BG251" s="1221">
        <v>1271.1300000000001</v>
      </c>
      <c r="BH251" s="1221">
        <v>1578.78</v>
      </c>
      <c r="BI251" s="1221">
        <f t="shared" si="34"/>
        <v>1.2420287460763257</v>
      </c>
    </row>
    <row r="252" spans="1:61">
      <c r="A252" s="2469"/>
      <c r="B252" s="1222"/>
      <c r="C252" s="1223"/>
      <c r="D252" s="1223"/>
      <c r="E252" s="1222"/>
      <c r="F252" s="1222"/>
      <c r="G252" s="1270"/>
      <c r="H252" s="1270"/>
      <c r="I252" s="1270"/>
      <c r="J252" s="1270"/>
      <c r="K252" s="1222"/>
      <c r="L252" s="1270"/>
      <c r="M252" s="1226"/>
      <c r="N252" s="1222"/>
      <c r="O252" s="1222"/>
      <c r="P252" s="1270"/>
      <c r="Q252" s="1270"/>
      <c r="R252" s="1270"/>
      <c r="S252" s="1270"/>
      <c r="T252" s="1270"/>
      <c r="U252" s="1264" t="s">
        <v>1718</v>
      </c>
      <c r="V252" s="1264"/>
      <c r="W252" s="1309"/>
      <c r="X252" s="1309"/>
      <c r="Y252" s="1309">
        <v>153.58000000000001</v>
      </c>
      <c r="Z252" s="1309"/>
      <c r="AA252" s="1265"/>
      <c r="AB252" s="1226"/>
      <c r="AC252" s="1222"/>
      <c r="AD252" s="1222"/>
      <c r="AE252" s="1222"/>
      <c r="AF252" s="1222"/>
      <c r="AG252" s="1222"/>
      <c r="AH252" s="1226"/>
      <c r="AI252" s="1222"/>
      <c r="AJ252" s="1222"/>
      <c r="AK252" s="1222"/>
      <c r="AL252" s="1222"/>
      <c r="AM252" s="1222"/>
      <c r="AN252" s="1222"/>
      <c r="AO252" s="1226"/>
      <c r="AP252" s="1253"/>
      <c r="BG252" s="1221">
        <v>1488.12</v>
      </c>
      <c r="BH252" s="1221">
        <v>1837.22</v>
      </c>
      <c r="BI252" s="1221">
        <f t="shared" si="34"/>
        <v>1.2345912964008281</v>
      </c>
    </row>
    <row r="253" spans="1:61">
      <c r="A253" s="2469"/>
      <c r="B253" s="1222"/>
      <c r="C253" s="1223"/>
      <c r="D253" s="1223"/>
      <c r="E253" s="1222"/>
      <c r="F253" s="1222"/>
      <c r="G253" s="1270"/>
      <c r="H253" s="1270"/>
      <c r="I253" s="1270"/>
      <c r="J253" s="1270"/>
      <c r="K253" s="1222"/>
      <c r="L253" s="1270"/>
      <c r="M253" s="1226"/>
      <c r="N253" s="1222"/>
      <c r="O253" s="1222"/>
      <c r="P253" s="1270"/>
      <c r="Q253" s="1270"/>
      <c r="R253" s="1270"/>
      <c r="S253" s="1270"/>
      <c r="T253" s="1270"/>
      <c r="U253" s="1264" t="s">
        <v>1719</v>
      </c>
      <c r="V253" s="1264">
        <v>3.7</v>
      </c>
      <c r="W253" s="1309">
        <v>40.64</v>
      </c>
      <c r="X253" s="1309"/>
      <c r="Y253" s="1309">
        <v>115</v>
      </c>
      <c r="Z253" s="1309"/>
      <c r="AA253" s="1265"/>
      <c r="AB253" s="1226"/>
      <c r="AC253" s="1222"/>
      <c r="AD253" s="1222"/>
      <c r="AE253" s="1222"/>
      <c r="AF253" s="1222"/>
      <c r="AG253" s="1222"/>
      <c r="AH253" s="1226"/>
      <c r="AI253" s="1222"/>
      <c r="AJ253" s="1222"/>
      <c r="AK253" s="1222"/>
      <c r="AL253" s="1222"/>
      <c r="AM253" s="1222"/>
      <c r="AN253" s="1222"/>
      <c r="AO253" s="1226"/>
      <c r="AP253" s="1253"/>
      <c r="BI253" s="1221">
        <f>AVERAGE(BI249:BI252)</f>
        <v>1.2594427275152211</v>
      </c>
    </row>
    <row r="254" spans="1:61">
      <c r="A254" s="2469"/>
      <c r="B254" s="1222"/>
      <c r="C254" s="1223"/>
      <c r="D254" s="1223"/>
      <c r="E254" s="1222"/>
      <c r="F254" s="1222"/>
      <c r="G254" s="1270"/>
      <c r="H254" s="1270"/>
      <c r="I254" s="1270"/>
      <c r="J254" s="1270"/>
      <c r="K254" s="1222"/>
      <c r="L254" s="1270"/>
      <c r="M254" s="1226"/>
      <c r="N254" s="1222"/>
      <c r="O254" s="1222"/>
      <c r="P254" s="1270"/>
      <c r="Q254" s="1270"/>
      <c r="R254" s="1270"/>
      <c r="S254" s="1270"/>
      <c r="T254" s="1270"/>
      <c r="U254" s="1226"/>
      <c r="V254" s="1226"/>
      <c r="W254" s="1222"/>
      <c r="X254" s="1222"/>
      <c r="Y254" s="1222"/>
      <c r="Z254" s="1222"/>
      <c r="AA254" s="1222"/>
      <c r="AB254" s="1226"/>
      <c r="AC254" s="1222"/>
      <c r="AD254" s="1222"/>
      <c r="AE254" s="1222"/>
      <c r="AF254" s="1222"/>
      <c r="AG254" s="1222"/>
      <c r="AH254" s="1226"/>
      <c r="AI254" s="1222"/>
      <c r="AJ254" s="1222"/>
      <c r="AK254" s="1222"/>
      <c r="AL254" s="1222"/>
      <c r="AM254" s="1222"/>
      <c r="AN254" s="1222"/>
      <c r="AO254" s="1226"/>
      <c r="AP254" s="1253"/>
    </row>
    <row r="255" spans="1:61">
      <c r="A255" s="2469"/>
      <c r="B255" s="1222"/>
      <c r="C255" s="1223"/>
      <c r="D255" s="1223"/>
      <c r="E255" s="1222"/>
      <c r="F255" s="1222"/>
      <c r="G255" s="1270"/>
      <c r="H255" s="1270"/>
      <c r="I255" s="1270"/>
      <c r="J255" s="1270"/>
      <c r="K255" s="1222"/>
      <c r="L255" s="1270"/>
      <c r="M255" s="1226"/>
      <c r="N255" s="1222"/>
      <c r="O255" s="1222"/>
      <c r="P255" s="1270"/>
      <c r="Q255" s="1270"/>
      <c r="R255" s="1270"/>
      <c r="S255" s="1270"/>
      <c r="T255" s="1270"/>
      <c r="U255" s="1226"/>
      <c r="V255" s="1226"/>
      <c r="W255" s="1222"/>
      <c r="X255" s="1222"/>
      <c r="Y255" s="1222"/>
      <c r="Z255" s="1222"/>
      <c r="AA255" s="1222"/>
      <c r="AB255" s="1226"/>
      <c r="AC255" s="1222"/>
      <c r="AD255" s="1222"/>
      <c r="AE255" s="1222"/>
      <c r="AF255" s="1222"/>
      <c r="AG255" s="1222"/>
      <c r="AH255" s="1226"/>
      <c r="AI255" s="1222"/>
      <c r="AJ255" s="1222"/>
      <c r="AK255" s="1222"/>
      <c r="AL255" s="1222"/>
      <c r="AM255" s="1222"/>
      <c r="AN255" s="1222"/>
      <c r="AO255" s="1226"/>
      <c r="AP255" s="1253"/>
    </row>
    <row r="256" spans="1:61">
      <c r="A256" s="2469"/>
      <c r="B256" s="1222"/>
      <c r="C256" s="1223"/>
      <c r="D256" s="1223"/>
      <c r="E256" s="1222"/>
      <c r="F256" s="1222"/>
      <c r="G256" s="1270"/>
      <c r="H256" s="1270"/>
      <c r="I256" s="1270"/>
      <c r="J256" s="1270"/>
      <c r="K256" s="1222"/>
      <c r="L256" s="1270"/>
      <c r="M256" s="1226"/>
      <c r="N256" s="1222"/>
      <c r="O256" s="1222"/>
      <c r="P256" s="1270"/>
      <c r="Q256" s="1270"/>
      <c r="R256" s="1270"/>
      <c r="S256" s="1270"/>
      <c r="T256" s="1270"/>
      <c r="U256" s="1226"/>
      <c r="V256" s="1226"/>
      <c r="W256" s="1222"/>
      <c r="X256" s="1222"/>
      <c r="Y256" s="1222"/>
      <c r="Z256" s="1222"/>
      <c r="AA256" s="1222"/>
      <c r="AB256" s="1226"/>
      <c r="AC256" s="1222"/>
      <c r="AD256" s="1222"/>
      <c r="AE256" s="1222"/>
      <c r="AF256" s="1222"/>
      <c r="AG256" s="1222"/>
      <c r="AH256" s="1226"/>
      <c r="AI256" s="1222"/>
      <c r="AJ256" s="1222"/>
      <c r="AK256" s="1222"/>
      <c r="AL256" s="1222"/>
      <c r="AM256" s="1222"/>
      <c r="AN256" s="1222"/>
      <c r="AO256" s="1226"/>
      <c r="AP256" s="1253"/>
    </row>
    <row r="257" spans="1:78" s="1221" customFormat="1">
      <c r="A257" s="2469"/>
      <c r="B257" s="1222"/>
      <c r="C257" s="1223"/>
      <c r="D257" s="1223"/>
      <c r="E257" s="1222"/>
      <c r="F257" s="1222"/>
      <c r="G257" s="1270"/>
      <c r="H257" s="1270"/>
      <c r="I257" s="1270"/>
      <c r="J257" s="1270"/>
      <c r="K257" s="1222"/>
      <c r="L257" s="1270"/>
      <c r="M257" s="1226"/>
      <c r="N257" s="1222"/>
      <c r="O257" s="1222"/>
      <c r="P257" s="1270"/>
      <c r="Q257" s="1270"/>
      <c r="R257" s="1270"/>
      <c r="S257" s="1270"/>
      <c r="T257" s="1270"/>
      <c r="U257" s="1226"/>
      <c r="V257" s="1226"/>
      <c r="W257" s="1222"/>
      <c r="X257" s="1222"/>
      <c r="Y257" s="1222"/>
      <c r="Z257" s="1222"/>
      <c r="AA257" s="1222"/>
      <c r="AB257" s="1226"/>
      <c r="AC257" s="1222"/>
      <c r="AD257" s="1222"/>
      <c r="AE257" s="1222"/>
      <c r="AF257" s="1222"/>
      <c r="AG257" s="1222"/>
      <c r="AH257" s="1226"/>
      <c r="AI257" s="1222"/>
      <c r="AJ257" s="1222"/>
      <c r="AK257" s="1222"/>
      <c r="AL257" s="1222"/>
      <c r="AM257" s="1222"/>
      <c r="AN257" s="1222"/>
      <c r="AO257" s="1226"/>
      <c r="AP257" s="1253"/>
      <c r="BJ257" s="95"/>
      <c r="BK257" s="153"/>
      <c r="BL257" s="153"/>
      <c r="BM257" s="153"/>
      <c r="BN257" s="153"/>
      <c r="BO257" s="153"/>
      <c r="BP257" s="153"/>
      <c r="BQ257" s="153"/>
      <c r="BR257" s="153"/>
      <c r="BS257" s="153"/>
      <c r="BT257" s="153"/>
      <c r="BU257" s="95"/>
      <c r="BV257" s="95"/>
      <c r="BW257" s="95"/>
      <c r="BX257" s="95"/>
      <c r="BY257" s="95"/>
      <c r="BZ257" s="95"/>
    </row>
    <row r="258" spans="1:78" s="1221" customFormat="1" ht="9" customHeight="1">
      <c r="A258" s="2469"/>
      <c r="B258" s="1222"/>
      <c r="C258" s="1223"/>
      <c r="D258" s="1223"/>
      <c r="E258" s="1222"/>
      <c r="F258" s="1222"/>
      <c r="G258" s="1270"/>
      <c r="H258" s="1270"/>
      <c r="I258" s="1270"/>
      <c r="J258" s="1270"/>
      <c r="K258" s="1222"/>
      <c r="L258" s="1270"/>
      <c r="M258" s="1226"/>
      <c r="N258" s="1222"/>
      <c r="O258" s="1222"/>
      <c r="P258" s="1270"/>
      <c r="Q258" s="1270"/>
      <c r="R258" s="1270"/>
      <c r="S258" s="1270"/>
      <c r="T258" s="1270"/>
      <c r="U258" s="1226"/>
      <c r="V258" s="1226"/>
      <c r="W258" s="1222"/>
      <c r="X258" s="1222"/>
      <c r="Y258" s="1222"/>
      <c r="Z258" s="1222"/>
      <c r="AA258" s="1222"/>
      <c r="AB258" s="1226"/>
      <c r="AC258" s="1222"/>
      <c r="AD258" s="1222"/>
      <c r="AE258" s="1222"/>
      <c r="AF258" s="1222"/>
      <c r="AG258" s="1222"/>
      <c r="AH258" s="1226"/>
      <c r="AI258" s="1222"/>
      <c r="AJ258" s="1222"/>
      <c r="AK258" s="1222"/>
      <c r="AL258" s="1222"/>
      <c r="AM258" s="1222"/>
      <c r="AN258" s="1222"/>
      <c r="AO258" s="1226"/>
      <c r="AP258" s="1253"/>
      <c r="BJ258" s="95"/>
      <c r="BK258" s="153"/>
      <c r="BL258" s="153"/>
      <c r="BM258" s="153"/>
      <c r="BN258" s="153"/>
      <c r="BO258" s="153"/>
      <c r="BP258" s="153"/>
      <c r="BQ258" s="153"/>
      <c r="BR258" s="153"/>
      <c r="BS258" s="153"/>
      <c r="BT258" s="153"/>
      <c r="BU258" s="95"/>
      <c r="BV258" s="95"/>
      <c r="BW258" s="95"/>
      <c r="BX258" s="95"/>
      <c r="BY258" s="95"/>
      <c r="BZ258" s="95"/>
    </row>
    <row r="259" spans="1:78" s="1221" customFormat="1" ht="15" thickBot="1">
      <c r="A259" s="2470"/>
      <c r="B259" s="1222"/>
      <c r="C259" s="1223"/>
      <c r="D259" s="1223"/>
      <c r="E259" s="1222"/>
      <c r="F259" s="1222"/>
      <c r="G259" s="1270"/>
      <c r="H259" s="1270"/>
      <c r="I259" s="1270"/>
      <c r="J259" s="1270"/>
      <c r="K259" s="1222"/>
      <c r="L259" s="1270"/>
      <c r="M259" s="1226"/>
      <c r="N259" s="1222"/>
      <c r="O259" s="1222"/>
      <c r="P259" s="1270"/>
      <c r="Q259" s="1270"/>
      <c r="R259" s="1270"/>
      <c r="S259" s="1270"/>
      <c r="T259" s="1270"/>
      <c r="U259" s="1226"/>
      <c r="V259" s="1226"/>
      <c r="W259" s="1222"/>
      <c r="X259" s="1222"/>
      <c r="Y259" s="1222"/>
      <c r="Z259" s="1222"/>
      <c r="AA259" s="1222"/>
      <c r="AB259" s="1226"/>
      <c r="AC259" s="1222"/>
      <c r="AD259" s="1222"/>
      <c r="AE259" s="1222"/>
      <c r="AF259" s="1222"/>
      <c r="AG259" s="1222"/>
      <c r="AH259" s="1226"/>
      <c r="AI259" s="1222"/>
      <c r="AJ259" s="1222"/>
      <c r="AK259" s="1222"/>
      <c r="AL259" s="1222"/>
      <c r="AM259" s="1222"/>
      <c r="AN259" s="1222"/>
      <c r="AO259" s="1226"/>
      <c r="AP259" s="1253"/>
      <c r="BJ259" s="95"/>
      <c r="BK259" s="153"/>
      <c r="BL259" s="153"/>
      <c r="BM259" s="153"/>
      <c r="BN259" s="153"/>
      <c r="BO259" s="153"/>
      <c r="BP259" s="153"/>
      <c r="BQ259" s="153"/>
      <c r="BR259" s="153"/>
      <c r="BS259" s="153"/>
      <c r="BT259" s="153"/>
      <c r="BU259" s="95"/>
      <c r="BV259" s="95"/>
      <c r="BW259" s="95"/>
      <c r="BX259" s="95"/>
      <c r="BY259" s="95"/>
      <c r="BZ259" s="95"/>
    </row>
    <row r="260" spans="1:78" s="1221" customFormat="1" ht="24" thickBot="1">
      <c r="A260" s="1241" t="s">
        <v>1376</v>
      </c>
      <c r="B260" s="1346"/>
      <c r="C260" s="1347"/>
      <c r="D260" s="1347"/>
      <c r="E260" s="1346"/>
      <c r="F260" s="1346"/>
      <c r="G260" s="1348"/>
      <c r="H260" s="1348"/>
      <c r="I260" s="1348"/>
      <c r="J260" s="1348"/>
      <c r="K260" s="1346"/>
      <c r="L260" s="1348"/>
      <c r="M260" s="1349"/>
      <c r="N260" s="1346"/>
      <c r="O260" s="1346"/>
      <c r="P260" s="1348"/>
      <c r="Q260" s="1348"/>
      <c r="R260" s="1348"/>
      <c r="S260" s="1348"/>
      <c r="T260" s="1348"/>
      <c r="U260" s="1349"/>
      <c r="V260" s="1349"/>
      <c r="W260" s="1346"/>
      <c r="X260" s="1346"/>
      <c r="Y260" s="1346"/>
      <c r="Z260" s="1346"/>
      <c r="AA260" s="1346"/>
      <c r="AB260" s="1349"/>
      <c r="AC260" s="1346"/>
      <c r="AD260" s="1346"/>
      <c r="AE260" s="1346"/>
      <c r="AF260" s="1346"/>
      <c r="AG260" s="1346"/>
      <c r="AH260" s="1349"/>
      <c r="AI260" s="1346"/>
      <c r="AJ260" s="1346"/>
      <c r="AK260" s="1346"/>
      <c r="AL260" s="1346"/>
      <c r="AM260" s="1346"/>
      <c r="AN260" s="1346"/>
      <c r="AO260" s="1349"/>
      <c r="AP260" s="1350"/>
      <c r="BJ260" s="95"/>
      <c r="BK260" s="153"/>
      <c r="BL260" s="153"/>
      <c r="BM260" s="153"/>
      <c r="BN260" s="153"/>
      <c r="BO260" s="153"/>
      <c r="BP260" s="153"/>
      <c r="BQ260" s="153"/>
      <c r="BR260" s="153"/>
      <c r="BS260" s="153"/>
      <c r="BT260" s="153"/>
      <c r="BU260" s="95"/>
      <c r="BV260" s="95"/>
      <c r="BW260" s="95"/>
      <c r="BX260" s="95"/>
      <c r="BY260" s="95"/>
      <c r="BZ260" s="95"/>
    </row>
    <row r="261" spans="1:78" s="1221" customFormat="1">
      <c r="A261" s="2464" t="s">
        <v>1377</v>
      </c>
      <c r="B261" s="1261" t="s">
        <v>1720</v>
      </c>
      <c r="C261" s="1352" t="s">
        <v>1494</v>
      </c>
      <c r="D261" s="1352" t="s">
        <v>1433</v>
      </c>
      <c r="E261" s="1438">
        <f>AVERAGE(AO261:AO269)</f>
        <v>9.3477777777777771</v>
      </c>
      <c r="F261" s="1439" t="s">
        <v>1721</v>
      </c>
      <c r="G261" s="1401">
        <f>AP261*BQ22</f>
        <v>64.61891268502184</v>
      </c>
      <c r="H261" s="1402">
        <f>E261*$G$261</f>
        <v>604.04323602120962</v>
      </c>
      <c r="I261" s="1353"/>
      <c r="J261" s="1353"/>
      <c r="K261" s="2466">
        <v>0.15</v>
      </c>
      <c r="L261" s="1355">
        <f>E261*$G$261*(1+$K$261)</f>
        <v>694.64972142439103</v>
      </c>
      <c r="M261" s="1264" t="s">
        <v>1698</v>
      </c>
      <c r="N261" s="1309"/>
      <c r="O261" s="1381">
        <v>2.25</v>
      </c>
      <c r="P261" s="1260">
        <v>59</v>
      </c>
      <c r="Q261" s="1360">
        <f>O261*P261</f>
        <v>132.75</v>
      </c>
      <c r="R261" s="1354"/>
      <c r="S261" s="1354"/>
      <c r="T261" s="1355">
        <f>Q261</f>
        <v>132.75</v>
      </c>
      <c r="U261" s="1255" t="s">
        <v>1722</v>
      </c>
      <c r="V261" s="1226"/>
      <c r="W261" s="1222"/>
      <c r="X261" s="1222"/>
      <c r="Y261" s="1222"/>
      <c r="Z261" s="1222"/>
      <c r="AA261" s="1222"/>
      <c r="AB261" s="1226"/>
      <c r="AC261" s="1222"/>
      <c r="AD261" s="1222"/>
      <c r="AE261" s="1222"/>
      <c r="AF261" s="1222"/>
      <c r="AG261" s="1222"/>
      <c r="AH261" s="1226"/>
      <c r="AI261" s="1222"/>
      <c r="AJ261" s="1222"/>
      <c r="AK261" s="1222"/>
      <c r="AL261" s="1222"/>
      <c r="AM261" s="1222"/>
      <c r="AN261" s="1222"/>
      <c r="AO261" s="1282">
        <v>5.7140000000000004</v>
      </c>
      <c r="AP261" s="1283">
        <v>55.8</v>
      </c>
      <c r="BJ261" s="95"/>
      <c r="BK261" s="153"/>
      <c r="BL261" s="153"/>
      <c r="BM261" s="153"/>
      <c r="BN261" s="153"/>
      <c r="BO261" s="153"/>
      <c r="BP261" s="153"/>
      <c r="BQ261" s="153"/>
      <c r="BR261" s="153"/>
      <c r="BS261" s="153"/>
      <c r="BT261" s="153"/>
      <c r="BU261" s="95"/>
      <c r="BV261" s="95"/>
      <c r="BW261" s="95"/>
      <c r="BX261" s="95"/>
      <c r="BY261" s="95"/>
      <c r="BZ261" s="95"/>
    </row>
    <row r="262" spans="1:78" s="1221" customFormat="1">
      <c r="A262" s="2465"/>
      <c r="B262" s="1261" t="s">
        <v>1723</v>
      </c>
      <c r="C262" s="1255" t="s">
        <v>1494</v>
      </c>
      <c r="D262" s="1261" t="s">
        <v>1433</v>
      </c>
      <c r="E262" s="1440">
        <f>AVERAGE(AO270:AO273)</f>
        <v>22.381</v>
      </c>
      <c r="F262" s="1268" t="s">
        <v>1724</v>
      </c>
      <c r="G262" s="1441">
        <f>AP270*BQ22</f>
        <v>58.168601866821625</v>
      </c>
      <c r="H262" s="1378">
        <f>E262*$G$262</f>
        <v>1301.8714783813348</v>
      </c>
      <c r="I262" s="1260"/>
      <c r="J262" s="1260"/>
      <c r="K262" s="2467"/>
      <c r="L262" s="1276">
        <f>E262*$G$262*(1+$K$261)</f>
        <v>1497.1522001385349</v>
      </c>
      <c r="M262" s="1264" t="s">
        <v>1519</v>
      </c>
      <c r="N262" s="1309"/>
      <c r="O262" s="1309">
        <v>4.75</v>
      </c>
      <c r="P262" s="1260">
        <v>48.38</v>
      </c>
      <c r="Q262" s="1360">
        <f t="shared" ref="Q262:Q263" si="35">O262*P262</f>
        <v>229.80500000000001</v>
      </c>
      <c r="R262" s="1442"/>
      <c r="S262" s="1260"/>
      <c r="T262" s="1276">
        <f t="shared" ref="T262:T263" si="36">Q262</f>
        <v>229.80500000000001</v>
      </c>
      <c r="U262" s="1255" t="s">
        <v>1725</v>
      </c>
      <c r="V262" s="1226"/>
      <c r="W262" s="1222"/>
      <c r="X262" s="1222"/>
      <c r="Y262" s="1222"/>
      <c r="Z262" s="1222"/>
      <c r="AA262" s="1222"/>
      <c r="AB262" s="1226"/>
      <c r="AC262" s="1222"/>
      <c r="AD262" s="1222"/>
      <c r="AE262" s="1222"/>
      <c r="AF262" s="1222"/>
      <c r="AG262" s="1222"/>
      <c r="AH262" s="1226"/>
      <c r="AI262" s="1222"/>
      <c r="AJ262" s="1222"/>
      <c r="AK262" s="1222"/>
      <c r="AL262" s="1222"/>
      <c r="AM262" s="1222"/>
      <c r="AN262" s="1222"/>
      <c r="AO262" s="1282">
        <v>5.7140000000000004</v>
      </c>
      <c r="AP262" s="1283">
        <v>55.8</v>
      </c>
      <c r="BJ262" s="95"/>
      <c r="BK262" s="153"/>
      <c r="BL262" s="153"/>
      <c r="BM262" s="153"/>
      <c r="BN262" s="153"/>
      <c r="BO262" s="153"/>
      <c r="BP262" s="153"/>
      <c r="BQ262" s="153"/>
      <c r="BR262" s="153"/>
      <c r="BS262" s="153"/>
      <c r="BT262" s="153"/>
      <c r="BU262" s="95"/>
      <c r="BV262" s="95"/>
      <c r="BW262" s="95"/>
      <c r="BX262" s="95"/>
      <c r="BY262" s="95"/>
      <c r="BZ262" s="95"/>
    </row>
    <row r="263" spans="1:78" s="1221" customFormat="1">
      <c r="A263" s="2465"/>
      <c r="B263" s="1222"/>
      <c r="C263" s="1223"/>
      <c r="D263" s="1223"/>
      <c r="E263" s="1222"/>
      <c r="F263" s="1222"/>
      <c r="G263" s="1270"/>
      <c r="H263" s="1270"/>
      <c r="I263" s="1270"/>
      <c r="J263" s="1270"/>
      <c r="K263" s="1222"/>
      <c r="L263" s="1270"/>
      <c r="M263" s="1264" t="s">
        <v>1704</v>
      </c>
      <c r="N263" s="1309"/>
      <c r="O263" s="1309">
        <v>1</v>
      </c>
      <c r="P263" s="1260">
        <v>48.38</v>
      </c>
      <c r="Q263" s="1360">
        <f t="shared" si="35"/>
        <v>48.38</v>
      </c>
      <c r="R263" s="1442"/>
      <c r="S263" s="1260"/>
      <c r="T263" s="1276">
        <f t="shared" si="36"/>
        <v>48.38</v>
      </c>
      <c r="U263" s="1255" t="s">
        <v>1726</v>
      </c>
      <c r="V263" s="1226"/>
      <c r="W263" s="1222"/>
      <c r="X263" s="1222"/>
      <c r="Y263" s="1222"/>
      <c r="Z263" s="1222"/>
      <c r="AA263" s="1222"/>
      <c r="AB263" s="1226"/>
      <c r="AC263" s="1222"/>
      <c r="AD263" s="1222"/>
      <c r="AE263" s="1222"/>
      <c r="AF263" s="1222"/>
      <c r="AG263" s="1222"/>
      <c r="AH263" s="1226"/>
      <c r="AI263" s="1222"/>
      <c r="AJ263" s="1222"/>
      <c r="AK263" s="1222"/>
      <c r="AL263" s="1222"/>
      <c r="AM263" s="1222"/>
      <c r="AN263" s="1222"/>
      <c r="AO263" s="1282">
        <v>6.6669999999999998</v>
      </c>
      <c r="AP263" s="1283">
        <v>55.8</v>
      </c>
      <c r="BJ263" s="95"/>
      <c r="BK263" s="153"/>
      <c r="BL263" s="153"/>
      <c r="BM263" s="153"/>
      <c r="BN263" s="153"/>
      <c r="BO263" s="153"/>
      <c r="BP263" s="153"/>
      <c r="BQ263" s="153"/>
      <c r="BR263" s="153"/>
      <c r="BS263" s="153"/>
      <c r="BT263" s="153"/>
      <c r="BU263" s="95"/>
      <c r="BV263" s="95"/>
      <c r="BW263" s="95"/>
      <c r="BX263" s="95"/>
      <c r="BY263" s="95"/>
      <c r="BZ263" s="95"/>
    </row>
    <row r="264" spans="1:78" s="1221" customFormat="1">
      <c r="A264" s="2465"/>
      <c r="B264" s="1222"/>
      <c r="C264" s="1223"/>
      <c r="D264" s="1223"/>
      <c r="E264" s="1222"/>
      <c r="F264" s="1222"/>
      <c r="G264" s="1270"/>
      <c r="H264" s="1270"/>
      <c r="I264" s="1270"/>
      <c r="J264" s="1270"/>
      <c r="K264" s="1222"/>
      <c r="L264" s="1270"/>
      <c r="M264" s="1226"/>
      <c r="N264" s="1222"/>
      <c r="O264" s="1222"/>
      <c r="P264" s="1270"/>
      <c r="Q264" s="1270"/>
      <c r="R264" s="1270"/>
      <c r="S264" s="1270"/>
      <c r="T264" s="1270"/>
      <c r="U264" s="1314" t="s">
        <v>1727</v>
      </c>
      <c r="V264" s="1226"/>
      <c r="W264" s="1222"/>
      <c r="X264" s="1222"/>
      <c r="Y264" s="1222"/>
      <c r="Z264" s="1222"/>
      <c r="AA264" s="1222"/>
      <c r="AB264" s="1226"/>
      <c r="AC264" s="1222"/>
      <c r="AD264" s="1222"/>
      <c r="AE264" s="1222"/>
      <c r="AF264" s="1222"/>
      <c r="AG264" s="1222"/>
      <c r="AH264" s="1226"/>
      <c r="AI264" s="1222"/>
      <c r="AJ264" s="1222"/>
      <c r="AK264" s="1222"/>
      <c r="AL264" s="1222"/>
      <c r="AM264" s="1222"/>
      <c r="AN264" s="1222"/>
      <c r="AO264" s="1264">
        <v>7.2729999999999997</v>
      </c>
      <c r="AP264" s="1283">
        <v>55.8</v>
      </c>
      <c r="BJ264" s="95"/>
      <c r="BK264" s="153"/>
      <c r="BL264" s="153"/>
      <c r="BM264" s="153"/>
      <c r="BN264" s="153"/>
      <c r="BO264" s="153"/>
      <c r="BP264" s="153"/>
      <c r="BQ264" s="153"/>
      <c r="BR264" s="153"/>
      <c r="BS264" s="153"/>
      <c r="BT264" s="153"/>
      <c r="BU264" s="95"/>
      <c r="BV264" s="95"/>
      <c r="BW264" s="95"/>
      <c r="BX264" s="95"/>
      <c r="BY264" s="95"/>
      <c r="BZ264" s="95"/>
    </row>
    <row r="265" spans="1:78" s="1221" customFormat="1">
      <c r="A265" s="2465"/>
      <c r="B265" s="1222"/>
      <c r="C265" s="1223"/>
      <c r="D265" s="1223"/>
      <c r="E265" s="1222"/>
      <c r="F265" s="1222"/>
      <c r="G265" s="1270"/>
      <c r="H265" s="1270"/>
      <c r="I265" s="1270"/>
      <c r="J265" s="1270"/>
      <c r="K265" s="1222"/>
      <c r="L265" s="1270"/>
      <c r="M265" s="1226"/>
      <c r="N265" s="1222"/>
      <c r="O265" s="1222"/>
      <c r="P265" s="1270"/>
      <c r="Q265" s="1270"/>
      <c r="R265" s="1270"/>
      <c r="S265" s="1270"/>
      <c r="T265" s="1270"/>
      <c r="U265" s="1255" t="s">
        <v>1728</v>
      </c>
      <c r="V265" s="1226"/>
      <c r="W265" s="1222"/>
      <c r="X265" s="1222"/>
      <c r="Y265" s="1222"/>
      <c r="Z265" s="1222"/>
      <c r="AA265" s="1222"/>
      <c r="AB265" s="1226"/>
      <c r="AC265" s="1222"/>
      <c r="AD265" s="1222"/>
      <c r="AE265" s="1222"/>
      <c r="AF265" s="1222"/>
      <c r="AG265" s="1222"/>
      <c r="AH265" s="1226"/>
      <c r="AI265" s="1222"/>
      <c r="AJ265" s="1222"/>
      <c r="AK265" s="1222"/>
      <c r="AL265" s="1222"/>
      <c r="AM265" s="1222"/>
      <c r="AN265" s="1222"/>
      <c r="AO265" s="1282">
        <v>8</v>
      </c>
      <c r="AP265" s="1283">
        <v>55.8</v>
      </c>
      <c r="BJ265" s="95"/>
      <c r="BK265" s="153"/>
      <c r="BL265" s="153"/>
      <c r="BM265" s="153"/>
      <c r="BN265" s="153"/>
      <c r="BO265" s="153"/>
      <c r="BP265" s="153"/>
      <c r="BQ265" s="153"/>
      <c r="BR265" s="153"/>
      <c r="BS265" s="153"/>
      <c r="BT265" s="153"/>
      <c r="BU265" s="95"/>
      <c r="BV265" s="95"/>
      <c r="BW265" s="95"/>
      <c r="BX265" s="95"/>
      <c r="BY265" s="95"/>
      <c r="BZ265" s="95"/>
    </row>
    <row r="266" spans="1:78" s="1221" customFormat="1">
      <c r="A266" s="2465"/>
      <c r="B266" s="1222"/>
      <c r="C266" s="1223"/>
      <c r="D266" s="1223"/>
      <c r="E266" s="1222"/>
      <c r="F266" s="1222"/>
      <c r="G266" s="1270"/>
      <c r="H266" s="1270"/>
      <c r="I266" s="1270"/>
      <c r="J266" s="1270"/>
      <c r="K266" s="1222"/>
      <c r="L266" s="1270"/>
      <c r="M266" s="1226"/>
      <c r="N266" s="1222"/>
      <c r="O266" s="1222"/>
      <c r="P266" s="1270"/>
      <c r="Q266" s="1270"/>
      <c r="R266" s="1270"/>
      <c r="S266" s="1270"/>
      <c r="T266" s="1270"/>
      <c r="U266" s="1255" t="s">
        <v>1729</v>
      </c>
      <c r="V266" s="1226"/>
      <c r="W266" s="1222"/>
      <c r="X266" s="1222"/>
      <c r="Y266" s="1222"/>
      <c r="Z266" s="1222"/>
      <c r="AA266" s="1222"/>
      <c r="AB266" s="1226"/>
      <c r="AC266" s="1222"/>
      <c r="AD266" s="1222"/>
      <c r="AE266" s="1222"/>
      <c r="AF266" s="1222"/>
      <c r="AG266" s="1222"/>
      <c r="AH266" s="1226"/>
      <c r="AI266" s="1222"/>
      <c r="AJ266" s="1222"/>
      <c r="AK266" s="1222"/>
      <c r="AL266" s="1222"/>
      <c r="AM266" s="1222"/>
      <c r="AN266" s="1222"/>
      <c r="AO266" s="1282">
        <v>10</v>
      </c>
      <c r="AP266" s="1283">
        <v>55.8</v>
      </c>
      <c r="BJ266" s="95"/>
      <c r="BK266" s="153"/>
      <c r="BL266" s="153"/>
      <c r="BM266" s="153"/>
      <c r="BN266" s="153"/>
      <c r="BO266" s="153"/>
      <c r="BP266" s="153"/>
      <c r="BQ266" s="153"/>
      <c r="BR266" s="153"/>
      <c r="BS266" s="153"/>
      <c r="BT266" s="153"/>
      <c r="BU266" s="95"/>
      <c r="BV266" s="95"/>
      <c r="BW266" s="95"/>
      <c r="BX266" s="95"/>
      <c r="BY266" s="95"/>
      <c r="BZ266" s="95"/>
    </row>
    <row r="267" spans="1:78" s="1221" customFormat="1">
      <c r="A267" s="2465"/>
      <c r="B267" s="1222"/>
      <c r="C267" s="1223"/>
      <c r="D267" s="1223"/>
      <c r="E267" s="1222"/>
      <c r="F267" s="1222"/>
      <c r="G267" s="1270"/>
      <c r="H267" s="1270"/>
      <c r="I267" s="1270"/>
      <c r="J267" s="1270"/>
      <c r="K267" s="1222"/>
      <c r="L267" s="1270"/>
      <c r="M267" s="1226"/>
      <c r="N267" s="1222"/>
      <c r="O267" s="1222"/>
      <c r="P267" s="1270"/>
      <c r="Q267" s="1270"/>
      <c r="R267" s="1270"/>
      <c r="S267" s="1270"/>
      <c r="T267" s="1270"/>
      <c r="U267" s="1255" t="s">
        <v>1730</v>
      </c>
      <c r="V267" s="1226"/>
      <c r="W267" s="1222"/>
      <c r="X267" s="1222"/>
      <c r="Y267" s="1222"/>
      <c r="Z267" s="1222"/>
      <c r="AA267" s="1222"/>
      <c r="AB267" s="1226"/>
      <c r="AC267" s="1222"/>
      <c r="AD267" s="1222"/>
      <c r="AE267" s="1222"/>
      <c r="AF267" s="1222"/>
      <c r="AG267" s="1222"/>
      <c r="AH267" s="1226"/>
      <c r="AI267" s="1222"/>
      <c r="AJ267" s="1222"/>
      <c r="AK267" s="1222"/>
      <c r="AL267" s="1222"/>
      <c r="AM267" s="1222"/>
      <c r="AN267" s="1222"/>
      <c r="AO267" s="1282">
        <v>11.429</v>
      </c>
      <c r="AP267" s="1283">
        <v>55.8</v>
      </c>
      <c r="BJ267" s="95"/>
      <c r="BK267" s="153"/>
      <c r="BL267" s="153"/>
      <c r="BM267" s="153"/>
      <c r="BN267" s="153"/>
      <c r="BO267" s="153"/>
      <c r="BP267" s="153"/>
      <c r="BQ267" s="153"/>
      <c r="BR267" s="153"/>
      <c r="BS267" s="153"/>
      <c r="BT267" s="153"/>
      <c r="BU267" s="95"/>
      <c r="BV267" s="95"/>
      <c r="BW267" s="95"/>
      <c r="BX267" s="95"/>
      <c r="BY267" s="95"/>
      <c r="BZ267" s="95"/>
    </row>
    <row r="268" spans="1:78" s="1221" customFormat="1">
      <c r="A268" s="2465"/>
      <c r="B268" s="1222"/>
      <c r="C268" s="1223"/>
      <c r="D268" s="1223"/>
      <c r="E268" s="1222"/>
      <c r="F268" s="1222"/>
      <c r="G268" s="1270"/>
      <c r="H268" s="1270"/>
      <c r="I268" s="1270"/>
      <c r="J268" s="1270"/>
      <c r="K268" s="1222"/>
      <c r="L268" s="1270"/>
      <c r="M268" s="1226"/>
      <c r="N268" s="1222"/>
      <c r="O268" s="1222"/>
      <c r="P268" s="1270"/>
      <c r="Q268" s="1270"/>
      <c r="R268" s="1270"/>
      <c r="S268" s="1270"/>
      <c r="T268" s="1270"/>
      <c r="U268" s="1314" t="s">
        <v>1731</v>
      </c>
      <c r="V268" s="1226"/>
      <c r="W268" s="1222"/>
      <c r="X268" s="1222"/>
      <c r="Y268" s="1222"/>
      <c r="Z268" s="1222"/>
      <c r="AA268" s="1222"/>
      <c r="AB268" s="1226"/>
      <c r="AC268" s="1222"/>
      <c r="AD268" s="1222"/>
      <c r="AE268" s="1222"/>
      <c r="AF268" s="1222"/>
      <c r="AG268" s="1222"/>
      <c r="AH268" s="1226"/>
      <c r="AI268" s="1222"/>
      <c r="AJ268" s="1222"/>
      <c r="AK268" s="1222"/>
      <c r="AL268" s="1222"/>
      <c r="AM268" s="1222"/>
      <c r="AN268" s="1222"/>
      <c r="AO268" s="1264">
        <v>13.333</v>
      </c>
      <c r="AP268" s="1283">
        <v>55.8</v>
      </c>
      <c r="BJ268" s="95"/>
      <c r="BK268" s="153"/>
      <c r="BL268" s="153"/>
      <c r="BM268" s="153"/>
      <c r="BN268" s="153"/>
      <c r="BO268" s="153"/>
      <c r="BP268" s="153"/>
      <c r="BQ268" s="153"/>
      <c r="BR268" s="153"/>
      <c r="BS268" s="153"/>
      <c r="BT268" s="153"/>
      <c r="BU268" s="95"/>
      <c r="BV268" s="95"/>
      <c r="BW268" s="95"/>
      <c r="BX268" s="95"/>
      <c r="BY268" s="95"/>
      <c r="BZ268" s="95"/>
    </row>
    <row r="269" spans="1:78" s="1221" customFormat="1">
      <c r="A269" s="2465"/>
      <c r="B269" s="1222"/>
      <c r="C269" s="1223"/>
      <c r="D269" s="1223"/>
      <c r="E269" s="1222"/>
      <c r="F269" s="1222"/>
      <c r="G269" s="1270"/>
      <c r="H269" s="1270"/>
      <c r="I269" s="1270"/>
      <c r="J269" s="1270"/>
      <c r="K269" s="1222"/>
      <c r="L269" s="1270"/>
      <c r="M269" s="1226"/>
      <c r="N269" s="1222"/>
      <c r="O269" s="1222"/>
      <c r="P269" s="1270"/>
      <c r="Q269" s="1270"/>
      <c r="R269" s="1270"/>
      <c r="S269" s="1270"/>
      <c r="T269" s="1270"/>
      <c r="U269" s="1255" t="s">
        <v>1732</v>
      </c>
      <c r="V269" s="1226"/>
      <c r="W269" s="1222"/>
      <c r="X269" s="1222"/>
      <c r="Y269" s="1222"/>
      <c r="Z269" s="1222"/>
      <c r="AA269" s="1222"/>
      <c r="AB269" s="1226"/>
      <c r="AC269" s="1222"/>
      <c r="AD269" s="1222"/>
      <c r="AE269" s="1222"/>
      <c r="AF269" s="1222"/>
      <c r="AG269" s="1222"/>
      <c r="AH269" s="1226"/>
      <c r="AI269" s="1222"/>
      <c r="AJ269" s="1222"/>
      <c r="AK269" s="1222"/>
      <c r="AL269" s="1222"/>
      <c r="AM269" s="1222"/>
      <c r="AN269" s="1222"/>
      <c r="AO269" s="1282">
        <v>16</v>
      </c>
      <c r="AP269" s="1283">
        <v>55.8</v>
      </c>
      <c r="AQ269" s="1221" t="s">
        <v>1471</v>
      </c>
      <c r="AR269" s="1221" t="s">
        <v>1699</v>
      </c>
      <c r="BH269" s="1221" t="s">
        <v>1571</v>
      </c>
      <c r="BJ269" s="95"/>
      <c r="BK269" s="153"/>
      <c r="BL269" s="153"/>
      <c r="BM269" s="153"/>
      <c r="BN269" s="153"/>
      <c r="BO269" s="153"/>
      <c r="BP269" s="153"/>
      <c r="BQ269" s="153"/>
      <c r="BR269" s="153"/>
      <c r="BS269" s="153"/>
      <c r="BT269" s="153"/>
      <c r="BU269" s="95"/>
      <c r="BV269" s="95"/>
      <c r="BW269" s="95"/>
      <c r="BX269" s="95"/>
      <c r="BY269" s="95"/>
      <c r="BZ269" s="95"/>
    </row>
    <row r="270" spans="1:78" s="1221" customFormat="1">
      <c r="A270" s="2465"/>
      <c r="B270" s="1222"/>
      <c r="C270" s="1223"/>
      <c r="D270" s="1223"/>
      <c r="E270" s="1222"/>
      <c r="F270" s="1222"/>
      <c r="G270" s="1270"/>
      <c r="H270" s="1270"/>
      <c r="I270" s="1270"/>
      <c r="J270" s="1270"/>
      <c r="K270" s="1222"/>
      <c r="L270" s="1270"/>
      <c r="M270" s="1226"/>
      <c r="N270" s="1222"/>
      <c r="O270" s="1222"/>
      <c r="P270" s="1270"/>
      <c r="Q270" s="1270"/>
      <c r="R270" s="1270"/>
      <c r="S270" s="1270"/>
      <c r="T270" s="1270"/>
      <c r="U270" s="1255" t="s">
        <v>1733</v>
      </c>
      <c r="V270" s="1226"/>
      <c r="W270" s="1222"/>
      <c r="X270" s="1222"/>
      <c r="Y270" s="1222"/>
      <c r="Z270" s="1222"/>
      <c r="AA270" s="1222"/>
      <c r="AB270" s="1226"/>
      <c r="AC270" s="1222"/>
      <c r="AD270" s="1222"/>
      <c r="AE270" s="1222"/>
      <c r="AF270" s="1222"/>
      <c r="AG270" s="1222"/>
      <c r="AH270" s="1226"/>
      <c r="AI270" s="1222"/>
      <c r="AJ270" s="1222"/>
      <c r="AK270" s="1222"/>
      <c r="AL270" s="1222"/>
      <c r="AM270" s="1222"/>
      <c r="AN270" s="1222"/>
      <c r="AO270" s="1282">
        <v>20</v>
      </c>
      <c r="AP270" s="1283">
        <v>50.23</v>
      </c>
      <c r="AQ270" s="1221">
        <v>75</v>
      </c>
      <c r="AR270" s="1221">
        <f t="shared" ref="AR270:AR275" si="37">AO261/AQ270</f>
        <v>7.6186666666666666E-2</v>
      </c>
      <c r="BF270" s="1221">
        <v>4091.52</v>
      </c>
      <c r="BG270" s="1221">
        <v>4737.28</v>
      </c>
      <c r="BH270" s="1221">
        <f>BG270/BF270</f>
        <v>1.1578288753323946</v>
      </c>
      <c r="BJ270" s="95"/>
      <c r="BK270" s="153"/>
      <c r="BL270" s="153"/>
      <c r="BM270" s="153"/>
      <c r="BN270" s="153"/>
      <c r="BO270" s="153"/>
      <c r="BP270" s="153"/>
      <c r="BQ270" s="153"/>
      <c r="BR270" s="153"/>
      <c r="BS270" s="153"/>
      <c r="BT270" s="153"/>
      <c r="BU270" s="95"/>
      <c r="BV270" s="95"/>
      <c r="BW270" s="95"/>
      <c r="BX270" s="95"/>
      <c r="BY270" s="95"/>
      <c r="BZ270" s="95"/>
    </row>
    <row r="271" spans="1:78" s="1221" customFormat="1">
      <c r="A271" s="2465"/>
      <c r="B271" s="1222"/>
      <c r="C271" s="1223"/>
      <c r="D271" s="1223"/>
      <c r="E271" s="1222"/>
      <c r="F271" s="1222"/>
      <c r="G271" s="1270"/>
      <c r="H271" s="1270"/>
      <c r="I271" s="1270"/>
      <c r="J271" s="1270"/>
      <c r="K271" s="1222"/>
      <c r="L271" s="1270"/>
      <c r="M271" s="1226"/>
      <c r="N271" s="1222"/>
      <c r="O271" s="1222"/>
      <c r="P271" s="1270"/>
      <c r="Q271" s="1270"/>
      <c r="R271" s="1270"/>
      <c r="S271" s="1270"/>
      <c r="T271" s="1270"/>
      <c r="U271" s="1255" t="s">
        <v>1734</v>
      </c>
      <c r="V271" s="1226"/>
      <c r="W271" s="1222"/>
      <c r="X271" s="1222"/>
      <c r="Y271" s="1222"/>
      <c r="Z271" s="1222"/>
      <c r="AA271" s="1222"/>
      <c r="AB271" s="1226"/>
      <c r="AC271" s="1222"/>
      <c r="AD271" s="1222"/>
      <c r="AE271" s="1222"/>
      <c r="AF271" s="1222"/>
      <c r="AG271" s="1222"/>
      <c r="AH271" s="1226"/>
      <c r="AI271" s="1222"/>
      <c r="AJ271" s="1222"/>
      <c r="AK271" s="1222"/>
      <c r="AL271" s="1222"/>
      <c r="AM271" s="1222"/>
      <c r="AN271" s="1222"/>
      <c r="AO271" s="1282">
        <v>20</v>
      </c>
      <c r="AP271" s="1283">
        <v>50.23</v>
      </c>
      <c r="AQ271" s="1221">
        <v>98</v>
      </c>
      <c r="AR271" s="1221">
        <f t="shared" si="37"/>
        <v>5.8306122448979598E-2</v>
      </c>
      <c r="BF271" s="1221">
        <v>6219.52</v>
      </c>
      <c r="BG271" s="1221">
        <v>7061</v>
      </c>
      <c r="BH271" s="1221">
        <f t="shared" ref="BH271:BH275" si="38">BG271/BF271</f>
        <v>1.1352966145297385</v>
      </c>
      <c r="BJ271" s="95"/>
      <c r="BK271" s="153"/>
      <c r="BL271" s="153"/>
      <c r="BM271" s="153"/>
      <c r="BN271" s="153"/>
      <c r="BO271" s="153"/>
      <c r="BP271" s="153"/>
      <c r="BQ271" s="153"/>
      <c r="BR271" s="153"/>
      <c r="BS271" s="153"/>
      <c r="BT271" s="153"/>
      <c r="BU271" s="95"/>
      <c r="BV271" s="95"/>
      <c r="BW271" s="95"/>
      <c r="BX271" s="95"/>
      <c r="BY271" s="95"/>
      <c r="BZ271" s="95"/>
    </row>
    <row r="272" spans="1:78" s="1221" customFormat="1">
      <c r="A272" s="2465"/>
      <c r="B272" s="1222"/>
      <c r="C272" s="1223"/>
      <c r="D272" s="1223"/>
      <c r="E272" s="1222"/>
      <c r="F272" s="1222"/>
      <c r="G272" s="1270"/>
      <c r="H272" s="1270"/>
      <c r="I272" s="1270"/>
      <c r="J272" s="1270"/>
      <c r="K272" s="1222"/>
      <c r="L272" s="1270"/>
      <c r="M272" s="1226"/>
      <c r="N272" s="1222"/>
      <c r="O272" s="1222"/>
      <c r="P272" s="1270"/>
      <c r="Q272" s="1270"/>
      <c r="R272" s="1270"/>
      <c r="S272" s="1270"/>
      <c r="T272" s="1270"/>
      <c r="U272" s="1314" t="s">
        <v>1735</v>
      </c>
      <c r="V272" s="1226"/>
      <c r="W272" s="1222"/>
      <c r="X272" s="1222"/>
      <c r="Y272" s="1222"/>
      <c r="Z272" s="1222"/>
      <c r="AA272" s="1222"/>
      <c r="AB272" s="1226"/>
      <c r="AC272" s="1222"/>
      <c r="AD272" s="1222"/>
      <c r="AE272" s="1222"/>
      <c r="AF272" s="1222"/>
      <c r="AG272" s="1222"/>
      <c r="AH272" s="1226"/>
      <c r="AI272" s="1222"/>
      <c r="AJ272" s="1222"/>
      <c r="AK272" s="1222"/>
      <c r="AL272" s="1222"/>
      <c r="AM272" s="1222"/>
      <c r="AN272" s="1222"/>
      <c r="AO272" s="1264">
        <v>22.856999999999999</v>
      </c>
      <c r="AP272" s="1283">
        <v>50.23</v>
      </c>
      <c r="AQ272" s="1221">
        <v>120</v>
      </c>
      <c r="AR272" s="1221">
        <f t="shared" si="37"/>
        <v>5.5558333333333335E-2</v>
      </c>
      <c r="BF272" s="1221">
        <v>6503.57</v>
      </c>
      <c r="BG272" s="1221">
        <v>7426.16</v>
      </c>
      <c r="BH272" s="1221">
        <f t="shared" si="38"/>
        <v>1.1418590097438792</v>
      </c>
      <c r="BJ272" s="95"/>
      <c r="BK272" s="153"/>
      <c r="BL272" s="153"/>
      <c r="BM272" s="153"/>
      <c r="BN272" s="153"/>
      <c r="BO272" s="153"/>
      <c r="BP272" s="153"/>
      <c r="BQ272" s="153"/>
      <c r="BR272" s="153"/>
      <c r="BS272" s="153"/>
      <c r="BT272" s="153"/>
      <c r="BU272" s="95"/>
      <c r="BV272" s="95"/>
      <c r="BW272" s="95"/>
      <c r="BX272" s="95"/>
      <c r="BY272" s="95"/>
      <c r="BZ272" s="95"/>
    </row>
    <row r="273" spans="1:78" s="1221" customFormat="1">
      <c r="A273" s="2465"/>
      <c r="B273" s="1222"/>
      <c r="C273" s="1223"/>
      <c r="D273" s="1223"/>
      <c r="E273" s="1222"/>
      <c r="F273" s="1222"/>
      <c r="G273" s="1270"/>
      <c r="H273" s="1270"/>
      <c r="I273" s="1270"/>
      <c r="J273" s="1270"/>
      <c r="K273" s="1222"/>
      <c r="L273" s="1270"/>
      <c r="M273" s="1226"/>
      <c r="N273" s="1222"/>
      <c r="O273" s="1222"/>
      <c r="P273" s="1270"/>
      <c r="Q273" s="1270"/>
      <c r="R273" s="1270"/>
      <c r="S273" s="1270"/>
      <c r="T273" s="1270"/>
      <c r="U273" s="1255" t="s">
        <v>1736</v>
      </c>
      <c r="V273" s="1226"/>
      <c r="W273" s="1222"/>
      <c r="X273" s="1222"/>
      <c r="Y273" s="1222"/>
      <c r="Z273" s="1222"/>
      <c r="AA273" s="1222"/>
      <c r="AB273" s="1226"/>
      <c r="AC273" s="1222"/>
      <c r="AD273" s="1222"/>
      <c r="AE273" s="1222"/>
      <c r="AF273" s="1222"/>
      <c r="AG273" s="1222"/>
      <c r="AH273" s="1226"/>
      <c r="AI273" s="1222"/>
      <c r="AJ273" s="1222"/>
      <c r="AK273" s="1222"/>
      <c r="AL273" s="1222"/>
      <c r="AM273" s="1222"/>
      <c r="AN273" s="1222"/>
      <c r="AO273" s="1282">
        <v>26.667000000000002</v>
      </c>
      <c r="AP273" s="1283">
        <v>50.23</v>
      </c>
      <c r="AQ273" s="1221">
        <v>120</v>
      </c>
      <c r="AR273" s="1221">
        <f t="shared" si="37"/>
        <v>6.0608333333333334E-2</v>
      </c>
      <c r="BF273" s="1221">
        <v>7797.21</v>
      </c>
      <c r="BG273" s="1221">
        <v>8858.2099999999991</v>
      </c>
      <c r="BH273" s="1221">
        <f t="shared" si="38"/>
        <v>1.1360743137609477</v>
      </c>
      <c r="BJ273" s="95"/>
      <c r="BK273" s="153"/>
      <c r="BL273" s="153"/>
      <c r="BM273" s="153"/>
      <c r="BN273" s="153"/>
      <c r="BO273" s="153"/>
      <c r="BP273" s="153"/>
      <c r="BQ273" s="153"/>
      <c r="BR273" s="153"/>
      <c r="BS273" s="153"/>
      <c r="BT273" s="153"/>
      <c r="BU273" s="95"/>
      <c r="BV273" s="95"/>
      <c r="BW273" s="95"/>
      <c r="BX273" s="95"/>
      <c r="BY273" s="95"/>
      <c r="BZ273" s="95"/>
    </row>
    <row r="274" spans="1:78" s="1221" customFormat="1">
      <c r="A274" s="2465"/>
      <c r="B274" s="1222"/>
      <c r="C274" s="1223"/>
      <c r="D274" s="1223"/>
      <c r="E274" s="1222"/>
      <c r="F274" s="1222"/>
      <c r="G274" s="1270"/>
      <c r="H274" s="1270"/>
      <c r="I274" s="1270"/>
      <c r="J274" s="1270"/>
      <c r="K274" s="1222"/>
      <c r="L274" s="1270"/>
      <c r="M274" s="1226"/>
      <c r="N274" s="1222"/>
      <c r="O274" s="1222"/>
      <c r="P274" s="1270"/>
      <c r="Q274" s="1270"/>
      <c r="R274" s="1270"/>
      <c r="S274" s="1270"/>
      <c r="T274" s="1270"/>
      <c r="U274" s="1226"/>
      <c r="V274" s="1226"/>
      <c r="W274" s="1222"/>
      <c r="X274" s="1222"/>
      <c r="Y274" s="1222"/>
      <c r="Z274" s="1222"/>
      <c r="AA274" s="1222"/>
      <c r="AB274" s="1226"/>
      <c r="AC274" s="1222"/>
      <c r="AD274" s="1222"/>
      <c r="AE274" s="1222"/>
      <c r="AF274" s="1222"/>
      <c r="AG274" s="1222"/>
      <c r="AH274" s="1226"/>
      <c r="AI274" s="1222"/>
      <c r="AJ274" s="1222"/>
      <c r="AK274" s="1222"/>
      <c r="AL274" s="1222"/>
      <c r="AM274" s="1222"/>
      <c r="AN274" s="1222"/>
      <c r="AO274" s="1226"/>
      <c r="AP274" s="1253"/>
      <c r="AQ274" s="1221">
        <v>140</v>
      </c>
      <c r="AR274" s="1221">
        <f t="shared" si="37"/>
        <v>5.7142857142857141E-2</v>
      </c>
      <c r="BF274" s="1221">
        <v>9771.65</v>
      </c>
      <c r="BG274" s="1221">
        <v>11063.87</v>
      </c>
      <c r="BH274" s="1221">
        <f t="shared" si="38"/>
        <v>1.1322417401360059</v>
      </c>
      <c r="BJ274" s="95"/>
      <c r="BK274" s="153"/>
      <c r="BL274" s="153"/>
      <c r="BM274" s="153"/>
      <c r="BN274" s="153"/>
      <c r="BO274" s="153"/>
      <c r="BP274" s="153"/>
      <c r="BQ274" s="153"/>
      <c r="BR274" s="153"/>
      <c r="BS274" s="153"/>
      <c r="BT274" s="153"/>
      <c r="BU274" s="95"/>
      <c r="BV274" s="95"/>
      <c r="BW274" s="95"/>
      <c r="BX274" s="95"/>
      <c r="BY274" s="95"/>
      <c r="BZ274" s="95"/>
    </row>
    <row r="275" spans="1:78" s="1221" customFormat="1" ht="15" thickBot="1">
      <c r="A275" s="2465"/>
      <c r="B275" s="1222"/>
      <c r="C275" s="1223"/>
      <c r="D275" s="1223"/>
      <c r="E275" s="1222"/>
      <c r="F275" s="1222"/>
      <c r="G275" s="1270"/>
      <c r="H275" s="1270"/>
      <c r="I275" s="1270"/>
      <c r="J275" s="1270"/>
      <c r="K275" s="1222"/>
      <c r="L275" s="1270"/>
      <c r="M275" s="1226"/>
      <c r="N275" s="1222"/>
      <c r="O275" s="1222"/>
      <c r="P275" s="1270"/>
      <c r="Q275" s="1270"/>
      <c r="R275" s="1270"/>
      <c r="S275" s="1270"/>
      <c r="T275" s="1270"/>
      <c r="U275" s="1226"/>
      <c r="V275" s="1226"/>
      <c r="W275" s="1222"/>
      <c r="X275" s="1222"/>
      <c r="Y275" s="1222"/>
      <c r="Z275" s="1222"/>
      <c r="AA275" s="1222"/>
      <c r="AB275" s="1226"/>
      <c r="AC275" s="1222"/>
      <c r="AD275" s="1222"/>
      <c r="AE275" s="1222"/>
      <c r="AF275" s="1222"/>
      <c r="AG275" s="1222"/>
      <c r="AH275" s="1226"/>
      <c r="AI275" s="1222"/>
      <c r="AJ275" s="1222"/>
      <c r="AK275" s="1222"/>
      <c r="AL275" s="1222"/>
      <c r="AM275" s="1222"/>
      <c r="AN275" s="1222"/>
      <c r="AO275" s="1226"/>
      <c r="AP275" s="1253"/>
      <c r="AQ275" s="1221">
        <v>155</v>
      </c>
      <c r="AR275" s="1221">
        <f t="shared" si="37"/>
        <v>6.4516129032258063E-2</v>
      </c>
      <c r="BF275" s="1221">
        <v>9722.16</v>
      </c>
      <c r="BG275" s="1221">
        <v>11083.24</v>
      </c>
      <c r="BH275" s="1221">
        <f t="shared" si="38"/>
        <v>1.1399976959852542</v>
      </c>
      <c r="BJ275" s="95"/>
      <c r="BK275" s="153"/>
      <c r="BL275" s="153"/>
      <c r="BM275" s="153"/>
      <c r="BN275" s="153"/>
      <c r="BO275" s="153"/>
      <c r="BP275" s="153"/>
      <c r="BQ275" s="153"/>
      <c r="BR275" s="153"/>
      <c r="BS275" s="153"/>
      <c r="BT275" s="153"/>
      <c r="BU275" s="95"/>
      <c r="BV275" s="95"/>
      <c r="BW275" s="95"/>
      <c r="BX275" s="95"/>
      <c r="BY275" s="95"/>
      <c r="BZ275" s="95"/>
    </row>
    <row r="276" spans="1:78" s="1221" customFormat="1" ht="24" thickBot="1">
      <c r="A276" s="1241" t="s">
        <v>1404</v>
      </c>
      <c r="B276" s="1242"/>
      <c r="C276" s="1243"/>
      <c r="D276" s="1243"/>
      <c r="E276" s="1242"/>
      <c r="F276" s="1242"/>
      <c r="G276" s="1244"/>
      <c r="H276" s="1244"/>
      <c r="I276" s="1244"/>
      <c r="J276" s="1244"/>
      <c r="K276" s="1242"/>
      <c r="L276" s="1244"/>
      <c r="M276" s="1245"/>
      <c r="N276" s="1242"/>
      <c r="O276" s="1242"/>
      <c r="P276" s="1244"/>
      <c r="Q276" s="1244"/>
      <c r="R276" s="1244"/>
      <c r="S276" s="1244"/>
      <c r="T276" s="1244"/>
      <c r="U276" s="1245"/>
      <c r="V276" s="1245"/>
      <c r="W276" s="1242"/>
      <c r="X276" s="1242"/>
      <c r="Y276" s="1242"/>
      <c r="Z276" s="1242"/>
      <c r="AA276" s="1242"/>
      <c r="AB276" s="1245"/>
      <c r="AC276" s="1242"/>
      <c r="AD276" s="1242"/>
      <c r="AE276" s="1242"/>
      <c r="AF276" s="1242"/>
      <c r="AG276" s="1242"/>
      <c r="AH276" s="1245"/>
      <c r="AI276" s="1242"/>
      <c r="AJ276" s="1242"/>
      <c r="AK276" s="1242"/>
      <c r="AL276" s="1242"/>
      <c r="AM276" s="1242"/>
      <c r="AN276" s="1242"/>
      <c r="AO276" s="1245"/>
      <c r="AP276" s="1246"/>
      <c r="AU276" s="1221">
        <v>878.02</v>
      </c>
      <c r="AV276" s="1221">
        <v>1058.48</v>
      </c>
      <c r="AW276" s="1221">
        <f t="shared" ref="AW276" si="39">AV276/AU276</f>
        <v>1.2055306257260656</v>
      </c>
      <c r="BJ276" s="95"/>
      <c r="BK276" s="153"/>
      <c r="BL276" s="153"/>
      <c r="BM276" s="153"/>
      <c r="BN276" s="153"/>
      <c r="BO276" s="153"/>
      <c r="BP276" s="153"/>
      <c r="BQ276" s="153"/>
      <c r="BR276" s="153"/>
      <c r="BS276" s="153"/>
      <c r="BT276" s="153"/>
      <c r="BU276" s="95"/>
      <c r="BV276" s="95"/>
      <c r="BW276" s="95"/>
      <c r="BX276" s="95"/>
      <c r="BY276" s="95"/>
      <c r="BZ276" s="95"/>
    </row>
    <row r="277" spans="1:78" s="1221" customFormat="1">
      <c r="A277" s="2468" t="s">
        <v>1405</v>
      </c>
      <c r="B277" s="1261" t="s">
        <v>1738</v>
      </c>
      <c r="C277" s="1247" t="s">
        <v>1737</v>
      </c>
      <c r="D277" s="1247" t="s">
        <v>1490</v>
      </c>
      <c r="E277" s="1359">
        <f>AH277</f>
        <v>1.1946111009495393</v>
      </c>
      <c r="F277" s="1363"/>
      <c r="G277" s="1250"/>
      <c r="H277" s="1250">
        <f>E277*$G$283</f>
        <v>66.055659705492289</v>
      </c>
      <c r="I277" s="1250"/>
      <c r="J277" s="1252"/>
      <c r="K277" s="2471">
        <v>0.26</v>
      </c>
      <c r="L277" s="2474">
        <f>((E277*$G$283)+I278)*(1+$K$277)</f>
        <v>89.962412028920284</v>
      </c>
      <c r="M277" s="1251" t="s">
        <v>1433</v>
      </c>
      <c r="N277" s="1249"/>
      <c r="O277" s="1448">
        <f>AVERAGE(AO280:AO282)</f>
        <v>1.1723333333333334</v>
      </c>
      <c r="P277" s="1250">
        <f>AP280*BQ45</f>
        <v>58.274529605283924</v>
      </c>
      <c r="Q277" s="1259">
        <f>O277*P277</f>
        <v>68.317173540594524</v>
      </c>
      <c r="R277" s="1252"/>
      <c r="S277" s="1252"/>
      <c r="T277" s="1445">
        <f>Q277</f>
        <v>68.317173540594524</v>
      </c>
      <c r="U277" s="1255" t="s">
        <v>1739</v>
      </c>
      <c r="V277" s="1226"/>
      <c r="W277" s="1222"/>
      <c r="X277" s="1222"/>
      <c r="Y277" s="1222"/>
      <c r="Z277" s="1222"/>
      <c r="AA277" s="1222"/>
      <c r="AB277" s="1226"/>
      <c r="AC277" s="1222"/>
      <c r="AD277" s="1222"/>
      <c r="AE277" s="1222"/>
      <c r="AF277" s="1222"/>
      <c r="AG277" s="1222"/>
      <c r="AH277" s="1446">
        <v>1.1946111009495393</v>
      </c>
      <c r="AI277" s="1447">
        <v>0.10734203793574242</v>
      </c>
      <c r="AJ277" s="1447">
        <v>83</v>
      </c>
      <c r="AK277" s="1257"/>
      <c r="AL277" s="1257"/>
      <c r="AM277" s="1257"/>
      <c r="AN277" s="1273"/>
      <c r="AO277" s="1226"/>
      <c r="AP277" s="1253"/>
      <c r="AV277" s="1221" t="e">
        <f>AVERAGE(#REF!)</f>
        <v>#REF!</v>
      </c>
      <c r="BJ277" s="95"/>
      <c r="BK277" s="153"/>
      <c r="BL277" s="153"/>
      <c r="BM277" s="153"/>
      <c r="BN277" s="153"/>
      <c r="BO277" s="153"/>
      <c r="BP277" s="153"/>
      <c r="BQ277" s="153"/>
      <c r="BR277" s="153"/>
      <c r="BS277" s="153"/>
      <c r="BT277" s="153"/>
      <c r="BU277" s="95"/>
      <c r="BV277" s="95"/>
      <c r="BW277" s="95"/>
      <c r="BX277" s="95"/>
      <c r="BY277" s="95"/>
      <c r="BZ277" s="95"/>
    </row>
    <row r="278" spans="1:78" s="1221" customFormat="1">
      <c r="A278" s="2469"/>
      <c r="B278" s="1261" t="s">
        <v>1740</v>
      </c>
      <c r="C278" s="1247" t="s">
        <v>1737</v>
      </c>
      <c r="D278" s="1255" t="s">
        <v>1495</v>
      </c>
      <c r="E278" s="1274"/>
      <c r="F278" s="1316"/>
      <c r="G278" s="1258"/>
      <c r="H278" s="1258"/>
      <c r="I278" s="1258">
        <f>AVERAGE(AA284:AA288)+AVERAGE(Z284:Z288)+AVERAGE(Y284:Y288)</f>
        <v>5.3430799999999996</v>
      </c>
      <c r="J278" s="1357"/>
      <c r="K278" s="2472"/>
      <c r="L278" s="2475"/>
      <c r="M278" s="1264" t="s">
        <v>1698</v>
      </c>
      <c r="N278" s="1309"/>
      <c r="O278" s="1381">
        <v>0.65</v>
      </c>
      <c r="P278" s="1260">
        <v>67.88</v>
      </c>
      <c r="Q278" s="1259">
        <f>O278*P278</f>
        <v>44.122</v>
      </c>
      <c r="R278" s="1357"/>
      <c r="S278" s="1357"/>
      <c r="T278" s="1444">
        <f>Q278</f>
        <v>44.122</v>
      </c>
      <c r="U278" s="1255" t="s">
        <v>1741</v>
      </c>
      <c r="V278" s="1226"/>
      <c r="W278" s="1222"/>
      <c r="X278" s="1222"/>
      <c r="Y278" s="1222"/>
      <c r="Z278" s="1222"/>
      <c r="AA278" s="1222"/>
      <c r="AB278" s="1226"/>
      <c r="AC278" s="1222"/>
      <c r="AD278" s="1222"/>
      <c r="AE278" s="1222"/>
      <c r="AF278" s="1222"/>
      <c r="AG278" s="1222"/>
      <c r="AH278" s="1446">
        <v>1.5098190016367143</v>
      </c>
      <c r="AI278" s="1447">
        <v>0.13257328210693867</v>
      </c>
      <c r="AJ278" s="1447">
        <v>84</v>
      </c>
      <c r="AK278" s="1257"/>
      <c r="AL278" s="1257"/>
      <c r="AM278" s="1257"/>
      <c r="AN278" s="1273"/>
      <c r="AO278" s="1226"/>
      <c r="AP278" s="1253"/>
      <c r="BJ278" s="95"/>
      <c r="BK278" s="153"/>
      <c r="BL278" s="153"/>
      <c r="BM278" s="153"/>
      <c r="BN278" s="153"/>
      <c r="BO278" s="153"/>
      <c r="BP278" s="153"/>
      <c r="BQ278" s="153"/>
      <c r="BR278" s="153"/>
      <c r="BS278" s="153"/>
      <c r="BT278" s="153"/>
      <c r="BU278" s="95"/>
      <c r="BV278" s="95"/>
      <c r="BW278" s="95"/>
      <c r="BX278" s="95"/>
      <c r="BY278" s="95"/>
      <c r="BZ278" s="95"/>
    </row>
    <row r="279" spans="1:78" s="1221" customFormat="1">
      <c r="A279" s="2469"/>
      <c r="B279" s="1261" t="s">
        <v>1742</v>
      </c>
      <c r="C279" s="1247" t="s">
        <v>1737</v>
      </c>
      <c r="D279" s="1255" t="s">
        <v>1490</v>
      </c>
      <c r="E279" s="1274">
        <f>AH278</f>
        <v>1.5098190016367143</v>
      </c>
      <c r="F279" s="1316"/>
      <c r="G279" s="1258"/>
      <c r="H279" s="1250">
        <f>E279*$G$283</f>
        <v>83.484985289127692</v>
      </c>
      <c r="I279" s="1258"/>
      <c r="J279" s="1357"/>
      <c r="K279" s="2472"/>
      <c r="L279" s="2474">
        <f>((E279*$G$283)+I280)*(1+$K$277)</f>
        <v>121.7198874643009</v>
      </c>
      <c r="M279" s="1264" t="s">
        <v>1743</v>
      </c>
      <c r="N279" s="1309"/>
      <c r="O279" s="1381">
        <f>AVERAGE(V284:V288)</f>
        <v>0.36149761416589005</v>
      </c>
      <c r="P279" s="1260">
        <v>67.88</v>
      </c>
      <c r="Q279" s="1259">
        <f>O279*P279</f>
        <v>24.538458049580615</v>
      </c>
      <c r="R279" s="1357"/>
      <c r="S279" s="1357"/>
      <c r="T279" s="1444">
        <f>Q279</f>
        <v>24.538458049580615</v>
      </c>
      <c r="U279" s="1255" t="s">
        <v>1744</v>
      </c>
      <c r="V279" s="1226"/>
      <c r="W279" s="1222"/>
      <c r="X279" s="1222"/>
      <c r="Y279" s="1222"/>
      <c r="Z279" s="1222"/>
      <c r="AA279" s="1222"/>
      <c r="AB279" s="1226"/>
      <c r="AC279" s="1222"/>
      <c r="AD279" s="1222"/>
      <c r="AE279" s="1222"/>
      <c r="AF279" s="1222"/>
      <c r="AG279" s="1222"/>
      <c r="AH279" s="1446">
        <v>1.1354784616969078</v>
      </c>
      <c r="AI279" s="1447">
        <v>9.4530446357398962E-2</v>
      </c>
      <c r="AJ279" s="1447">
        <v>79</v>
      </c>
      <c r="AK279" s="1257"/>
      <c r="AL279" s="1257"/>
      <c r="AM279" s="1257"/>
      <c r="AN279" s="1273"/>
      <c r="AO279" s="1226"/>
      <c r="AP279" s="1253"/>
      <c r="BJ279" s="95"/>
      <c r="BK279" s="153"/>
      <c r="BL279" s="153"/>
      <c r="BM279" s="153"/>
      <c r="BN279" s="153"/>
      <c r="BO279" s="153"/>
      <c r="BP279" s="153"/>
      <c r="BQ279" s="153"/>
      <c r="BR279" s="153"/>
      <c r="BS279" s="153"/>
      <c r="BT279" s="153"/>
      <c r="BU279" s="95"/>
      <c r="BV279" s="95"/>
      <c r="BW279" s="95"/>
      <c r="BX279" s="95"/>
      <c r="BY279" s="95"/>
      <c r="BZ279" s="95"/>
    </row>
    <row r="280" spans="1:78" s="1221" customFormat="1">
      <c r="A280" s="2469"/>
      <c r="B280" s="1261" t="s">
        <v>1745</v>
      </c>
      <c r="C280" s="1247" t="s">
        <v>1737</v>
      </c>
      <c r="D280" s="1255" t="s">
        <v>1495</v>
      </c>
      <c r="E280" s="1274"/>
      <c r="F280" s="1316"/>
      <c r="G280" s="1258"/>
      <c r="H280" s="1258"/>
      <c r="I280" s="1258">
        <f>AVERAGE(AA289:AA295)+AVERAGE(Z289:Z295)+AVERAGE(Y289:Y295)</f>
        <v>13.1181</v>
      </c>
      <c r="J280" s="1357"/>
      <c r="K280" s="2472"/>
      <c r="L280" s="2475"/>
      <c r="M280" s="1264" t="s">
        <v>1746</v>
      </c>
      <c r="N280" s="1309"/>
      <c r="O280" s="1381">
        <f>AVERAGE(V289:V295)</f>
        <v>0.85088145896656542</v>
      </c>
      <c r="P280" s="1260">
        <v>67.88</v>
      </c>
      <c r="Q280" s="1259">
        <f>O280*P280</f>
        <v>57.757833434650458</v>
      </c>
      <c r="R280" s="1357"/>
      <c r="S280" s="1357"/>
      <c r="T280" s="1444">
        <f>Q280</f>
        <v>57.757833434650458</v>
      </c>
      <c r="U280" s="1255" t="s">
        <v>1747</v>
      </c>
      <c r="V280" s="1226"/>
      <c r="W280" s="1222"/>
      <c r="X280" s="1222"/>
      <c r="Y280" s="1222"/>
      <c r="Z280" s="1222"/>
      <c r="AA280" s="1222"/>
      <c r="AB280" s="1226"/>
      <c r="AC280" s="1222"/>
      <c r="AD280" s="1222"/>
      <c r="AE280" s="1222"/>
      <c r="AF280" s="1222"/>
      <c r="AG280" s="1222"/>
      <c r="AH280" s="1226"/>
      <c r="AI280" s="1222"/>
      <c r="AJ280" s="1222"/>
      <c r="AK280" s="1222"/>
      <c r="AL280" s="1222"/>
      <c r="AM280" s="1222"/>
      <c r="AN280" s="1222"/>
      <c r="AO280" s="1282">
        <v>1.143</v>
      </c>
      <c r="AP280" s="1283">
        <v>52.4</v>
      </c>
      <c r="BJ280" s="95"/>
      <c r="BK280" s="153"/>
      <c r="BL280" s="153"/>
      <c r="BM280" s="153"/>
      <c r="BN280" s="153"/>
      <c r="BO280" s="153"/>
      <c r="BP280" s="153"/>
      <c r="BQ280" s="153"/>
      <c r="BR280" s="153"/>
      <c r="BS280" s="153"/>
      <c r="BT280" s="153"/>
      <c r="BU280" s="95"/>
      <c r="BV280" s="95"/>
      <c r="BW280" s="95"/>
      <c r="BX280" s="95"/>
      <c r="BY280" s="95"/>
      <c r="BZ280" s="95"/>
    </row>
    <row r="281" spans="1:78" s="1221" customFormat="1">
      <c r="A281" s="2469"/>
      <c r="B281" s="1261" t="s">
        <v>1748</v>
      </c>
      <c r="C281" s="1247" t="s">
        <v>1737</v>
      </c>
      <c r="D281" s="1255" t="s">
        <v>1490</v>
      </c>
      <c r="E281" s="1274">
        <f>AH279</f>
        <v>1.1354784616969078</v>
      </c>
      <c r="F281" s="1316"/>
      <c r="G281" s="1258"/>
      <c r="H281" s="1250">
        <f>E281*$G$283</f>
        <v>62.78593829334843</v>
      </c>
      <c r="I281" s="1258"/>
      <c r="J281" s="1258"/>
      <c r="K281" s="2472"/>
      <c r="L281" s="2476">
        <f>((E281*$G$283)+I282)*(1+$K$277)</f>
        <v>88.663329249619011</v>
      </c>
      <c r="M281" s="1264" t="s">
        <v>1749</v>
      </c>
      <c r="N281" s="1309"/>
      <c r="O281" s="1381">
        <f>AVERAGE(V296:V301)</f>
        <v>0.52226610365954629</v>
      </c>
      <c r="P281" s="1260">
        <v>67.88</v>
      </c>
      <c r="Q281" s="1259">
        <f>O281*P281</f>
        <v>35.451423116409998</v>
      </c>
      <c r="R281" s="1357"/>
      <c r="S281" s="1357"/>
      <c r="T281" s="1444">
        <f>Q281</f>
        <v>35.451423116409998</v>
      </c>
      <c r="U281" s="1255" t="s">
        <v>1750</v>
      </c>
      <c r="V281" s="1226"/>
      <c r="W281" s="1222"/>
      <c r="X281" s="1222"/>
      <c r="Y281" s="1222"/>
      <c r="Z281" s="1222"/>
      <c r="AA281" s="1222"/>
      <c r="AB281" s="1226"/>
      <c r="AC281" s="1222"/>
      <c r="AD281" s="1222"/>
      <c r="AE281" s="1222"/>
      <c r="AF281" s="1222"/>
      <c r="AG281" s="1222"/>
      <c r="AH281" s="1226"/>
      <c r="AI281" s="1222"/>
      <c r="AJ281" s="1222"/>
      <c r="AK281" s="1222"/>
      <c r="AL281" s="1222"/>
      <c r="AM281" s="1222"/>
      <c r="AN281" s="1222"/>
      <c r="AO281" s="1282">
        <v>1.143</v>
      </c>
      <c r="AP281" s="1283">
        <v>52.4</v>
      </c>
      <c r="BJ281" s="95"/>
      <c r="BK281" s="153"/>
      <c r="BL281" s="153"/>
      <c r="BM281" s="153"/>
      <c r="BN281" s="153"/>
      <c r="BO281" s="153"/>
      <c r="BP281" s="153"/>
      <c r="BQ281" s="153"/>
      <c r="BR281" s="153"/>
      <c r="BS281" s="153"/>
      <c r="BT281" s="153"/>
      <c r="BU281" s="95"/>
      <c r="BV281" s="95"/>
      <c r="BW281" s="95"/>
      <c r="BX281" s="95"/>
      <c r="BY281" s="95"/>
      <c r="BZ281" s="95"/>
    </row>
    <row r="282" spans="1:78" s="1221" customFormat="1">
      <c r="A282" s="2469"/>
      <c r="B282" s="1261" t="s">
        <v>1751</v>
      </c>
      <c r="C282" s="1247" t="s">
        <v>1737</v>
      </c>
      <c r="D282" s="1255" t="s">
        <v>1495</v>
      </c>
      <c r="E282" s="1256"/>
      <c r="F282" s="1316"/>
      <c r="G282" s="1258"/>
      <c r="H282" s="1258"/>
      <c r="I282" s="1258">
        <f>AVERAGE(AA296:AA301)+AVERAGE(Z296:Z301)+AVERAGE(Y296:Y301)</f>
        <v>7.5817833333333322</v>
      </c>
      <c r="J282" s="1258"/>
      <c r="K282" s="2472"/>
      <c r="L282" s="2474"/>
      <c r="M282" s="1226"/>
      <c r="N282" s="1222"/>
      <c r="O282" s="1222"/>
      <c r="P282" s="1270"/>
      <c r="Q282" s="1270"/>
      <c r="R282" s="1270"/>
      <c r="S282" s="1270"/>
      <c r="T282" s="1336"/>
      <c r="U282" s="1255" t="s">
        <v>1752</v>
      </c>
      <c r="V282" s="1226"/>
      <c r="W282" s="1222"/>
      <c r="X282" s="1222"/>
      <c r="Y282" s="1222"/>
      <c r="Z282" s="1222"/>
      <c r="AA282" s="1222"/>
      <c r="AB282" s="1226"/>
      <c r="AC282" s="1222"/>
      <c r="AD282" s="1222"/>
      <c r="AE282" s="1222"/>
      <c r="AF282" s="1222"/>
      <c r="AG282" s="1222"/>
      <c r="AH282" s="1226"/>
      <c r="AI282" s="1222"/>
      <c r="AJ282" s="1222"/>
      <c r="AK282" s="1222"/>
      <c r="AL282" s="1222"/>
      <c r="AM282" s="1222"/>
      <c r="AN282" s="1222"/>
      <c r="AO282" s="1282">
        <v>1.2310000000000001</v>
      </c>
      <c r="AP282" s="1283">
        <v>52.4</v>
      </c>
      <c r="BJ282" s="95"/>
      <c r="BK282" s="153"/>
      <c r="BL282" s="153"/>
      <c r="BM282" s="153"/>
      <c r="BN282" s="153"/>
      <c r="BO282" s="153"/>
      <c r="BP282" s="153"/>
      <c r="BQ282" s="153"/>
      <c r="BR282" s="153"/>
      <c r="BS282" s="153"/>
      <c r="BT282" s="153"/>
      <c r="BU282" s="95"/>
      <c r="BV282" s="95"/>
      <c r="BW282" s="95"/>
      <c r="BX282" s="95"/>
      <c r="BY282" s="95"/>
      <c r="BZ282" s="95"/>
    </row>
    <row r="283" spans="1:78" s="1221" customFormat="1">
      <c r="A283" s="2469"/>
      <c r="B283" s="1261" t="s">
        <v>1468</v>
      </c>
      <c r="C283" s="1247" t="s">
        <v>1737</v>
      </c>
      <c r="D283" s="1255" t="s">
        <v>1495</v>
      </c>
      <c r="E283" s="1256"/>
      <c r="F283" s="1316"/>
      <c r="G283" s="1258">
        <f>AVERAGE(W284:W301)*BS7</f>
        <v>55.294697707888204</v>
      </c>
      <c r="H283" s="1258"/>
      <c r="I283" s="1258"/>
      <c r="J283" s="1357"/>
      <c r="K283" s="2473"/>
      <c r="L283" s="1456"/>
      <c r="M283" s="1226"/>
      <c r="N283" s="1222"/>
      <c r="O283" s="1222"/>
      <c r="P283" s="1270"/>
      <c r="Q283" s="1270"/>
      <c r="R283" s="1270"/>
      <c r="S283" s="1270"/>
      <c r="T283" s="1336"/>
      <c r="U283" s="1255" t="s">
        <v>1753</v>
      </c>
      <c r="V283" s="1226"/>
      <c r="W283" s="1222"/>
      <c r="X283" s="1222"/>
      <c r="Y283" s="1222"/>
      <c r="Z283" s="1222"/>
      <c r="AA283" s="1222"/>
      <c r="AB283" s="1226"/>
      <c r="AC283" s="1222"/>
      <c r="AD283" s="1222"/>
      <c r="AE283" s="1222"/>
      <c r="AF283" s="1222"/>
      <c r="AG283" s="1222"/>
      <c r="AH283" s="1226"/>
      <c r="AI283" s="1222"/>
      <c r="AJ283" s="1222"/>
      <c r="AK283" s="1222"/>
      <c r="AL283" s="1222"/>
      <c r="AM283" s="1222"/>
      <c r="AN283" s="1222"/>
      <c r="AO283" s="1282">
        <v>0.33300000000000002</v>
      </c>
      <c r="AP283" s="1283">
        <v>52.4</v>
      </c>
      <c r="BJ283" s="95"/>
      <c r="BK283" s="153"/>
      <c r="BL283" s="153"/>
      <c r="BM283" s="153"/>
      <c r="BN283" s="153"/>
      <c r="BO283" s="153"/>
      <c r="BP283" s="153"/>
      <c r="BQ283" s="153"/>
      <c r="BR283" s="153"/>
      <c r="BS283" s="153"/>
      <c r="BT283" s="153"/>
      <c r="BU283" s="95"/>
      <c r="BV283" s="95"/>
      <c r="BW283" s="95"/>
      <c r="BX283" s="95"/>
      <c r="BY283" s="95"/>
      <c r="BZ283" s="95"/>
    </row>
    <row r="284" spans="1:78" s="1221" customFormat="1">
      <c r="A284" s="2469"/>
      <c r="B284" s="1222"/>
      <c r="C284" s="1223"/>
      <c r="D284" s="1223"/>
      <c r="E284" s="1222"/>
      <c r="F284" s="1222"/>
      <c r="G284" s="1270"/>
      <c r="H284" s="1270"/>
      <c r="I284" s="1270"/>
      <c r="J284" s="1270"/>
      <c r="K284" s="1222"/>
      <c r="L284" s="1336"/>
      <c r="M284" s="1226"/>
      <c r="N284" s="1222"/>
      <c r="O284" s="1222"/>
      <c r="P284" s="1270"/>
      <c r="Q284" s="1270"/>
      <c r="R284" s="1270"/>
      <c r="S284" s="1270"/>
      <c r="T284" s="1336"/>
      <c r="U284" s="1255" t="s">
        <v>1754</v>
      </c>
      <c r="V284" s="1452">
        <v>0.08</v>
      </c>
      <c r="W284" s="1453">
        <v>95.151515151515156</v>
      </c>
      <c r="X284" s="1454">
        <v>31.4</v>
      </c>
      <c r="Y284" s="1309"/>
      <c r="Z284" s="1454">
        <v>2.15</v>
      </c>
      <c r="AA284" s="1455">
        <v>2.82</v>
      </c>
      <c r="AB284" s="1222"/>
      <c r="AC284" s="1222"/>
      <c r="AD284" s="1222"/>
      <c r="AE284" s="1222"/>
      <c r="AF284" s="1222"/>
      <c r="AG284" s="1222"/>
      <c r="AH284" s="1226"/>
      <c r="AI284" s="1222"/>
      <c r="AJ284" s="1222"/>
      <c r="AK284" s="1222"/>
      <c r="AL284" s="1222"/>
      <c r="AM284" s="1222"/>
      <c r="AN284" s="1222"/>
      <c r="AO284" s="1226"/>
      <c r="AP284" s="1253"/>
      <c r="BJ284" s="95"/>
      <c r="BK284" s="153"/>
      <c r="BL284" s="153"/>
      <c r="BM284" s="153"/>
      <c r="BN284" s="153"/>
      <c r="BO284" s="153"/>
      <c r="BP284" s="153"/>
      <c r="BQ284" s="153"/>
      <c r="BR284" s="153"/>
      <c r="BS284" s="153"/>
      <c r="BT284" s="153"/>
      <c r="BU284" s="95"/>
      <c r="BV284" s="95"/>
      <c r="BW284" s="95"/>
      <c r="BX284" s="95"/>
      <c r="BY284" s="95"/>
      <c r="BZ284" s="95"/>
    </row>
    <row r="285" spans="1:78" s="1221" customFormat="1" ht="9" customHeight="1">
      <c r="A285" s="2469"/>
      <c r="B285" s="1222"/>
      <c r="C285" s="1223"/>
      <c r="D285" s="1223"/>
      <c r="E285" s="1222"/>
      <c r="F285" s="1222"/>
      <c r="G285" s="1270"/>
      <c r="H285" s="1270"/>
      <c r="I285" s="1270"/>
      <c r="J285" s="1270"/>
      <c r="K285" s="1222"/>
      <c r="L285" s="1336"/>
      <c r="M285" s="1226"/>
      <c r="N285" s="1222"/>
      <c r="O285" s="1222"/>
      <c r="P285" s="1270"/>
      <c r="Q285" s="1270"/>
      <c r="R285" s="1270"/>
      <c r="S285" s="1270"/>
      <c r="T285" s="1336"/>
      <c r="U285" s="1255" t="s">
        <v>1755</v>
      </c>
      <c r="V285" s="1449">
        <v>0.41249999999999998</v>
      </c>
      <c r="W285" s="1450">
        <v>75</v>
      </c>
      <c r="X285" s="1268">
        <v>30.9375</v>
      </c>
      <c r="Y285" s="1257"/>
      <c r="Z285" s="1268"/>
      <c r="AA285" s="1451">
        <v>2.8286000000000002</v>
      </c>
      <c r="AB285" s="1222"/>
      <c r="AC285" s="1222"/>
      <c r="AD285" s="1222"/>
      <c r="AE285" s="1222"/>
      <c r="AF285" s="1222"/>
      <c r="AG285" s="1222"/>
      <c r="AH285" s="1226"/>
      <c r="AI285" s="1222"/>
      <c r="AJ285" s="1222"/>
      <c r="AK285" s="1222"/>
      <c r="AL285" s="1222"/>
      <c r="AM285" s="1222"/>
      <c r="AN285" s="1222"/>
      <c r="AO285" s="1226"/>
      <c r="AP285" s="1253"/>
      <c r="BJ285" s="95"/>
      <c r="BK285" s="153"/>
      <c r="BL285" s="153"/>
      <c r="BM285" s="153"/>
      <c r="BN285" s="153"/>
      <c r="BO285" s="153"/>
      <c r="BP285" s="153"/>
      <c r="BQ285" s="153"/>
      <c r="BR285" s="153"/>
      <c r="BS285" s="153"/>
      <c r="BT285" s="153"/>
      <c r="BU285" s="95"/>
      <c r="BV285" s="95"/>
      <c r="BW285" s="95"/>
      <c r="BX285" s="95"/>
      <c r="BY285" s="95"/>
      <c r="BZ285" s="95"/>
    </row>
    <row r="286" spans="1:78" s="1221" customFormat="1">
      <c r="A286" s="2469"/>
      <c r="B286" s="1222"/>
      <c r="C286" s="1223"/>
      <c r="D286" s="1223"/>
      <c r="E286" s="1222"/>
      <c r="F286" s="1222"/>
      <c r="G286" s="1270"/>
      <c r="H286" s="1270"/>
      <c r="I286" s="1270"/>
      <c r="J286" s="1270"/>
      <c r="K286" s="1222"/>
      <c r="L286" s="1336"/>
      <c r="M286" s="1226"/>
      <c r="N286" s="1222"/>
      <c r="O286" s="1222"/>
      <c r="P286" s="1270"/>
      <c r="Q286" s="1270"/>
      <c r="R286" s="1270"/>
      <c r="S286" s="1270"/>
      <c r="T286" s="1336"/>
      <c r="U286" s="1255" t="s">
        <v>1756</v>
      </c>
      <c r="V286" s="1449">
        <v>0.5</v>
      </c>
      <c r="W286" s="1450">
        <v>60</v>
      </c>
      <c r="X286" s="1268">
        <v>30</v>
      </c>
      <c r="Y286" s="1257"/>
      <c r="Z286" s="1268">
        <v>1</v>
      </c>
      <c r="AA286" s="1451">
        <v>3.536</v>
      </c>
      <c r="AB286" s="1222"/>
      <c r="AC286" s="1222"/>
      <c r="AD286" s="1222"/>
      <c r="AE286" s="1222"/>
      <c r="AF286" s="1222"/>
      <c r="AG286" s="1222"/>
      <c r="AH286" s="1226"/>
      <c r="AI286" s="1222"/>
      <c r="AJ286" s="1222"/>
      <c r="AK286" s="1222"/>
      <c r="AL286" s="1222"/>
      <c r="AM286" s="1222"/>
      <c r="AN286" s="1222"/>
      <c r="AO286" s="1226"/>
      <c r="AP286" s="1253"/>
      <c r="AV286" s="1221" t="s">
        <v>1571</v>
      </c>
      <c r="BJ286" s="95"/>
      <c r="BK286" s="153"/>
      <c r="BL286" s="153"/>
      <c r="BM286" s="153"/>
      <c r="BN286" s="153"/>
      <c r="BO286" s="153"/>
      <c r="BP286" s="153"/>
      <c r="BQ286" s="153"/>
      <c r="BR286" s="153"/>
      <c r="BS286" s="153"/>
      <c r="BT286" s="153"/>
      <c r="BU286" s="95"/>
      <c r="BV286" s="95"/>
      <c r="BW286" s="95"/>
      <c r="BX286" s="95"/>
      <c r="BY286" s="95"/>
      <c r="BZ286" s="95"/>
    </row>
    <row r="287" spans="1:78" s="1221" customFormat="1">
      <c r="A287" s="2469"/>
      <c r="B287" s="1222"/>
      <c r="C287" s="1223"/>
      <c r="D287" s="1223"/>
      <c r="E287" s="1222"/>
      <c r="F287" s="1222"/>
      <c r="G287" s="1270"/>
      <c r="H287" s="1270"/>
      <c r="I287" s="1270"/>
      <c r="J287" s="1270"/>
      <c r="K287" s="1222"/>
      <c r="L287" s="1336"/>
      <c r="M287" s="1226"/>
      <c r="N287" s="1222"/>
      <c r="O287" s="1222"/>
      <c r="P287" s="1270"/>
      <c r="Q287" s="1270"/>
      <c r="R287" s="1270"/>
      <c r="S287" s="1270"/>
      <c r="T287" s="1336"/>
      <c r="U287" s="1255" t="s">
        <v>1757</v>
      </c>
      <c r="V287" s="1449">
        <v>0.4</v>
      </c>
      <c r="W287" s="1450">
        <v>95</v>
      </c>
      <c r="X287" s="1268">
        <v>38</v>
      </c>
      <c r="Y287" s="1257">
        <v>1.25</v>
      </c>
      <c r="Z287" s="1268">
        <v>1.25</v>
      </c>
      <c r="AA287" s="1451">
        <v>0</v>
      </c>
      <c r="AB287" s="1222"/>
      <c r="AC287" s="1222"/>
      <c r="AD287" s="1222"/>
      <c r="AE287" s="1222"/>
      <c r="AF287" s="1222"/>
      <c r="AG287" s="1222"/>
      <c r="AH287" s="1226"/>
      <c r="AI287" s="1222"/>
      <c r="AJ287" s="1222"/>
      <c r="AK287" s="1222"/>
      <c r="AL287" s="1222"/>
      <c r="AM287" s="1222"/>
      <c r="AN287" s="1222"/>
      <c r="AO287" s="1226"/>
      <c r="AP287" s="1253"/>
      <c r="AT287" s="1221">
        <v>223.74</v>
      </c>
      <c r="AU287" s="1221">
        <v>285.64999999999998</v>
      </c>
      <c r="AV287" s="1221">
        <f>AU287/AT287</f>
        <v>1.2767051041387323</v>
      </c>
      <c r="BJ287" s="95"/>
      <c r="BK287" s="153"/>
      <c r="BL287" s="153"/>
      <c r="BM287" s="153"/>
      <c r="BN287" s="153"/>
      <c r="BO287" s="153"/>
      <c r="BP287" s="153"/>
      <c r="BQ287" s="153"/>
      <c r="BR287" s="153"/>
      <c r="BS287" s="153"/>
      <c r="BT287" s="153"/>
      <c r="BU287" s="95"/>
      <c r="BV287" s="95"/>
      <c r="BW287" s="95"/>
      <c r="BX287" s="95"/>
      <c r="BY287" s="95"/>
      <c r="BZ287" s="95"/>
    </row>
    <row r="288" spans="1:78" s="1221" customFormat="1">
      <c r="A288" s="2469"/>
      <c r="B288" s="1222"/>
      <c r="C288" s="1223"/>
      <c r="D288" s="1223"/>
      <c r="E288" s="1222"/>
      <c r="F288" s="1222"/>
      <c r="G288" s="1270"/>
      <c r="H288" s="1270"/>
      <c r="I288" s="1270"/>
      <c r="J288" s="1270"/>
      <c r="K288" s="1222"/>
      <c r="L288" s="1336"/>
      <c r="M288" s="1226"/>
      <c r="N288" s="1222"/>
      <c r="O288" s="1222"/>
      <c r="P288" s="1270"/>
      <c r="Q288" s="1270"/>
      <c r="R288" s="1270"/>
      <c r="S288" s="1270"/>
      <c r="T288" s="1336"/>
      <c r="U288" s="1255" t="s">
        <v>1758</v>
      </c>
      <c r="V288" s="1452">
        <v>0.41498807082945016</v>
      </c>
      <c r="W288" s="1453">
        <v>81.287878787878782</v>
      </c>
      <c r="X288" s="1454">
        <v>33.733499999999999</v>
      </c>
      <c r="Y288" s="1309"/>
      <c r="Z288" s="1454">
        <v>2.1</v>
      </c>
      <c r="AA288" s="1455">
        <v>3.1557999999999997</v>
      </c>
      <c r="AB288" s="1222"/>
      <c r="AC288" s="1222"/>
      <c r="AD288" s="1222"/>
      <c r="AE288" s="1222"/>
      <c r="AF288" s="1222"/>
      <c r="AG288" s="1222"/>
      <c r="AH288" s="1226"/>
      <c r="AI288" s="1222"/>
      <c r="AJ288" s="1222"/>
      <c r="AK288" s="1222"/>
      <c r="AL288" s="1222"/>
      <c r="AM288" s="1222"/>
      <c r="AN288" s="1222"/>
      <c r="AO288" s="1226"/>
      <c r="AP288" s="1253"/>
      <c r="AT288" s="1221">
        <v>237.15</v>
      </c>
      <c r="AU288" s="1221">
        <v>299.05</v>
      </c>
      <c r="AV288" s="1221">
        <f>AU288/AT288</f>
        <v>1.2610162344507696</v>
      </c>
      <c r="BJ288" s="95"/>
      <c r="BK288" s="153"/>
      <c r="BL288" s="153"/>
      <c r="BM288" s="153"/>
      <c r="BN288" s="153"/>
      <c r="BO288" s="153"/>
      <c r="BP288" s="153"/>
      <c r="BQ288" s="153"/>
      <c r="BR288" s="153"/>
      <c r="BS288" s="153"/>
      <c r="BT288" s="153"/>
      <c r="BU288" s="95"/>
      <c r="BV288" s="95"/>
      <c r="BW288" s="95"/>
      <c r="BX288" s="95"/>
      <c r="BY288" s="95"/>
      <c r="BZ288" s="95"/>
    </row>
    <row r="289" spans="1:78" s="1221" customFormat="1">
      <c r="A289" s="2469"/>
      <c r="B289" s="1222"/>
      <c r="C289" s="1223"/>
      <c r="D289" s="1223"/>
      <c r="E289" s="1222"/>
      <c r="F289" s="1222"/>
      <c r="G289" s="1270"/>
      <c r="H289" s="1270"/>
      <c r="I289" s="1270"/>
      <c r="J289" s="1270"/>
      <c r="K289" s="1222"/>
      <c r="L289" s="1336"/>
      <c r="M289" s="1226"/>
      <c r="N289" s="1222"/>
      <c r="O289" s="1222"/>
      <c r="P289" s="1270"/>
      <c r="Q289" s="1270"/>
      <c r="R289" s="1270"/>
      <c r="S289" s="1270"/>
      <c r="T289" s="1336"/>
      <c r="U289" s="1255" t="s">
        <v>1759</v>
      </c>
      <c r="V289" s="1449">
        <v>1</v>
      </c>
      <c r="W289" s="1450">
        <v>98.5</v>
      </c>
      <c r="X289" s="1268">
        <v>98.5</v>
      </c>
      <c r="Y289" s="1257"/>
      <c r="Z289" s="1268"/>
      <c r="AA289" s="1451">
        <v>13.15</v>
      </c>
      <c r="AB289" s="1222"/>
      <c r="AC289" s="1222"/>
      <c r="AD289" s="1222"/>
      <c r="AE289" s="1222"/>
      <c r="AF289" s="1222"/>
      <c r="AG289" s="1222"/>
      <c r="AH289" s="1226"/>
      <c r="AI289" s="1222"/>
      <c r="AJ289" s="1222"/>
      <c r="AK289" s="1222"/>
      <c r="AL289" s="1222"/>
      <c r="AM289" s="1222"/>
      <c r="AN289" s="1222"/>
      <c r="AO289" s="1226"/>
      <c r="AP289" s="1253"/>
      <c r="AT289" s="1221">
        <v>305.98</v>
      </c>
      <c r="AU289" s="1221">
        <v>378.7</v>
      </c>
      <c r="AV289" s="1221">
        <f>AU289/AT289</f>
        <v>1.2376625923262958</v>
      </c>
      <c r="BJ289" s="95"/>
      <c r="BK289" s="153"/>
      <c r="BL289" s="153"/>
      <c r="BM289" s="153"/>
      <c r="BN289" s="153"/>
      <c r="BO289" s="153"/>
      <c r="BP289" s="153"/>
      <c r="BQ289" s="153"/>
      <c r="BR289" s="153"/>
      <c r="BS289" s="153"/>
      <c r="BT289" s="153"/>
      <c r="BU289" s="95"/>
      <c r="BV289" s="95"/>
      <c r="BW289" s="95"/>
      <c r="BX289" s="95"/>
      <c r="BY289" s="95"/>
      <c r="BZ289" s="95"/>
    </row>
    <row r="290" spans="1:78" s="1221" customFormat="1">
      <c r="A290" s="2469"/>
      <c r="B290" s="1222"/>
      <c r="C290" s="1223"/>
      <c r="D290" s="1223"/>
      <c r="E290" s="1222"/>
      <c r="F290" s="1222"/>
      <c r="G290" s="1270"/>
      <c r="H290" s="1270"/>
      <c r="I290" s="1270"/>
      <c r="J290" s="1270"/>
      <c r="K290" s="1222"/>
      <c r="L290" s="1336"/>
      <c r="M290" s="1226"/>
      <c r="N290" s="1222"/>
      <c r="O290" s="1222"/>
      <c r="P290" s="1270"/>
      <c r="Q290" s="1270"/>
      <c r="R290" s="1270"/>
      <c r="S290" s="1270"/>
      <c r="T290" s="1336"/>
      <c r="U290" s="1255" t="s">
        <v>1760</v>
      </c>
      <c r="V290" s="1449">
        <v>1.33</v>
      </c>
      <c r="W290" s="1450">
        <v>78.999999999999986</v>
      </c>
      <c r="X290" s="1268">
        <v>105.06999999999998</v>
      </c>
      <c r="Y290" s="1257"/>
      <c r="Z290" s="1454"/>
      <c r="AA290" s="1451">
        <v>12.7287</v>
      </c>
      <c r="AB290" s="1222"/>
      <c r="AC290" s="1222"/>
      <c r="AD290" s="1222"/>
      <c r="AE290" s="1222"/>
      <c r="AF290" s="1222"/>
      <c r="AG290" s="1222"/>
      <c r="AH290" s="1226"/>
      <c r="AI290" s="1222"/>
      <c r="AJ290" s="1222"/>
      <c r="AK290" s="1222"/>
      <c r="AL290" s="1222"/>
      <c r="AM290" s="1222"/>
      <c r="AN290" s="1222"/>
      <c r="AO290" s="1226"/>
      <c r="AP290" s="1253"/>
      <c r="AV290" s="1221">
        <f>AVERAGE(AV287:AV289)</f>
        <v>1.2584613103052658</v>
      </c>
      <c r="BJ290" s="95"/>
      <c r="BK290" s="153"/>
      <c r="BL290" s="153"/>
      <c r="BM290" s="153"/>
      <c r="BN290" s="153"/>
      <c r="BO290" s="153"/>
      <c r="BP290" s="153"/>
      <c r="BQ290" s="153"/>
      <c r="BR290" s="153"/>
      <c r="BS290" s="153"/>
      <c r="BT290" s="153"/>
      <c r="BU290" s="95"/>
      <c r="BV290" s="95"/>
      <c r="BW290" s="95"/>
      <c r="BX290" s="95"/>
      <c r="BY290" s="95"/>
      <c r="BZ290" s="95"/>
    </row>
    <row r="291" spans="1:78" s="1221" customFormat="1">
      <c r="A291" s="2469"/>
      <c r="B291" s="1222"/>
      <c r="C291" s="1223"/>
      <c r="D291" s="1223"/>
      <c r="E291" s="1222"/>
      <c r="F291" s="1222"/>
      <c r="G291" s="1270"/>
      <c r="H291" s="1270"/>
      <c r="I291" s="1270"/>
      <c r="J291" s="1270"/>
      <c r="K291" s="1222"/>
      <c r="L291" s="1336"/>
      <c r="M291" s="1226"/>
      <c r="N291" s="1222"/>
      <c r="O291" s="1222"/>
      <c r="P291" s="1270"/>
      <c r="Q291" s="1270"/>
      <c r="R291" s="1270"/>
      <c r="S291" s="1270"/>
      <c r="T291" s="1336"/>
      <c r="U291" s="1255" t="s">
        <v>1761</v>
      </c>
      <c r="V291" s="1449">
        <v>0.5</v>
      </c>
      <c r="W291" s="1450">
        <v>77.5</v>
      </c>
      <c r="X291" s="1268">
        <v>38.75</v>
      </c>
      <c r="Y291" s="1257"/>
      <c r="Z291" s="1454"/>
      <c r="AA291" s="1451">
        <v>6.7180000000000009</v>
      </c>
      <c r="AB291" s="1222"/>
      <c r="AC291" s="1222"/>
      <c r="AD291" s="1222"/>
      <c r="AE291" s="1222"/>
      <c r="AF291" s="1222"/>
      <c r="AG291" s="1222"/>
      <c r="AH291" s="1226"/>
      <c r="AI291" s="1222"/>
      <c r="AJ291" s="1222"/>
      <c r="AK291" s="1222"/>
      <c r="AL291" s="1222"/>
      <c r="AM291" s="1222"/>
      <c r="AN291" s="1222"/>
      <c r="AO291" s="1226"/>
      <c r="AP291" s="1253"/>
      <c r="BJ291" s="95"/>
      <c r="BK291" s="153"/>
      <c r="BL291" s="153"/>
      <c r="BM291" s="153"/>
      <c r="BN291" s="153"/>
      <c r="BO291" s="153"/>
      <c r="BP291" s="153"/>
      <c r="BQ291" s="153"/>
      <c r="BR291" s="153"/>
      <c r="BS291" s="153"/>
      <c r="BT291" s="153"/>
      <c r="BU291" s="95"/>
      <c r="BV291" s="95"/>
      <c r="BW291" s="95"/>
      <c r="BX291" s="95"/>
      <c r="BY291" s="95"/>
      <c r="BZ291" s="95"/>
    </row>
    <row r="292" spans="1:78" s="1221" customFormat="1">
      <c r="A292" s="2469"/>
      <c r="B292" s="1222"/>
      <c r="C292" s="1223"/>
      <c r="D292" s="1223"/>
      <c r="E292" s="1222"/>
      <c r="F292" s="1222"/>
      <c r="G292" s="1270"/>
      <c r="H292" s="1270"/>
      <c r="I292" s="1270"/>
      <c r="J292" s="1270"/>
      <c r="K292" s="1222"/>
      <c r="L292" s="1336"/>
      <c r="M292" s="1226"/>
      <c r="N292" s="1222"/>
      <c r="O292" s="1222"/>
      <c r="P292" s="1270"/>
      <c r="Q292" s="1270"/>
      <c r="R292" s="1270"/>
      <c r="S292" s="1270"/>
      <c r="T292" s="1336"/>
      <c r="U292" s="1255" t="s">
        <v>1762</v>
      </c>
      <c r="V292" s="1452">
        <v>0.41666666666666669</v>
      </c>
      <c r="W292" s="1453">
        <v>59.999999999999993</v>
      </c>
      <c r="X292" s="1454">
        <v>25</v>
      </c>
      <c r="Y292" s="1309"/>
      <c r="Z292" s="1454"/>
      <c r="AA292" s="1455">
        <v>13.180000000000001</v>
      </c>
      <c r="AB292" s="1222"/>
      <c r="AC292" s="1222"/>
      <c r="AD292" s="1222"/>
      <c r="AE292" s="1222"/>
      <c r="AF292" s="1222"/>
      <c r="AG292" s="1222"/>
      <c r="AH292" s="1226"/>
      <c r="AI292" s="1222"/>
      <c r="AJ292" s="1222"/>
      <c r="AK292" s="1222"/>
      <c r="AL292" s="1222"/>
      <c r="AM292" s="1222"/>
      <c r="AN292" s="1222"/>
      <c r="AO292" s="1226"/>
      <c r="AP292" s="1253"/>
      <c r="BJ292" s="95"/>
      <c r="BK292" s="153"/>
      <c r="BL292" s="153"/>
      <c r="BM292" s="153"/>
      <c r="BN292" s="153"/>
      <c r="BO292" s="153"/>
      <c r="BP292" s="153"/>
      <c r="BQ292" s="153"/>
      <c r="BR292" s="153"/>
      <c r="BS292" s="153"/>
      <c r="BT292" s="153"/>
      <c r="BU292" s="95"/>
      <c r="BV292" s="95"/>
      <c r="BW292" s="95"/>
      <c r="BX292" s="95"/>
      <c r="BY292" s="95"/>
      <c r="BZ292" s="95"/>
    </row>
    <row r="293" spans="1:78" s="1221" customFormat="1">
      <c r="A293" s="2469"/>
      <c r="B293" s="1222"/>
      <c r="C293" s="1223"/>
      <c r="D293" s="1223"/>
      <c r="E293" s="1222"/>
      <c r="F293" s="1222"/>
      <c r="G293" s="1270"/>
      <c r="H293" s="1270"/>
      <c r="I293" s="1270"/>
      <c r="J293" s="1270"/>
      <c r="K293" s="1222"/>
      <c r="L293" s="1336"/>
      <c r="M293" s="1226"/>
      <c r="N293" s="1222"/>
      <c r="O293" s="1222"/>
      <c r="P293" s="1270"/>
      <c r="Q293" s="1270"/>
      <c r="R293" s="1270"/>
      <c r="S293" s="1270"/>
      <c r="T293" s="1336"/>
      <c r="U293" s="1255" t="s">
        <v>1763</v>
      </c>
      <c r="V293" s="1449">
        <v>0.33333333333333337</v>
      </c>
      <c r="W293" s="1450">
        <v>60</v>
      </c>
      <c r="X293" s="1268">
        <v>20</v>
      </c>
      <c r="Y293" s="1257"/>
      <c r="Z293" s="1268"/>
      <c r="AA293" s="1451">
        <v>3.19</v>
      </c>
      <c r="AB293" s="1222"/>
      <c r="AC293" s="1222"/>
      <c r="AD293" s="1222"/>
      <c r="AE293" s="1222"/>
      <c r="AF293" s="1222"/>
      <c r="AG293" s="1222"/>
      <c r="AH293" s="1226"/>
      <c r="AI293" s="1222"/>
      <c r="AJ293" s="1222"/>
      <c r="AK293" s="1222"/>
      <c r="AL293" s="1222"/>
      <c r="AM293" s="1222"/>
      <c r="AN293" s="1222"/>
      <c r="AO293" s="1226"/>
      <c r="AP293" s="1253"/>
      <c r="BJ293" s="95"/>
      <c r="BK293" s="153"/>
      <c r="BL293" s="153"/>
      <c r="BM293" s="153"/>
      <c r="BN293" s="153"/>
      <c r="BO293" s="153"/>
      <c r="BP293" s="153"/>
      <c r="BQ293" s="153"/>
      <c r="BR293" s="153"/>
      <c r="BS293" s="153"/>
      <c r="BT293" s="153"/>
      <c r="BU293" s="95"/>
      <c r="BV293" s="95"/>
      <c r="BW293" s="95"/>
      <c r="BX293" s="95"/>
      <c r="BY293" s="95"/>
      <c r="BZ293" s="95"/>
    </row>
    <row r="294" spans="1:78" s="1221" customFormat="1">
      <c r="A294" s="2469"/>
      <c r="B294" s="1222"/>
      <c r="C294" s="1223"/>
      <c r="D294" s="1223"/>
      <c r="E294" s="1222"/>
      <c r="F294" s="1222"/>
      <c r="G294" s="1270"/>
      <c r="H294" s="1270"/>
      <c r="I294" s="1270"/>
      <c r="J294" s="1270"/>
      <c r="K294" s="1222"/>
      <c r="L294" s="1336"/>
      <c r="M294" s="1226"/>
      <c r="N294" s="1222"/>
      <c r="O294" s="1222"/>
      <c r="P294" s="1270"/>
      <c r="Q294" s="1270"/>
      <c r="R294" s="1270"/>
      <c r="S294" s="1270"/>
      <c r="T294" s="1336"/>
      <c r="U294" s="1255" t="s">
        <v>1764</v>
      </c>
      <c r="V294" s="1449">
        <v>1</v>
      </c>
      <c r="W294" s="1450">
        <v>95</v>
      </c>
      <c r="X294" s="1268">
        <v>95</v>
      </c>
      <c r="Y294" s="1257">
        <v>1.25</v>
      </c>
      <c r="Z294" s="1268">
        <v>1.75</v>
      </c>
      <c r="AA294" s="1451">
        <v>0</v>
      </c>
      <c r="AB294" s="1222"/>
      <c r="AC294" s="1222"/>
      <c r="AD294" s="1222"/>
      <c r="AE294" s="1222"/>
      <c r="AF294" s="1222"/>
      <c r="AG294" s="1222"/>
      <c r="AH294" s="1226"/>
      <c r="AI294" s="1222"/>
      <c r="AJ294" s="1222"/>
      <c r="AK294" s="1222"/>
      <c r="AL294" s="1222"/>
      <c r="AM294" s="1222"/>
      <c r="AN294" s="1222"/>
      <c r="AO294" s="1226"/>
      <c r="AP294" s="1253"/>
      <c r="BJ294" s="95"/>
      <c r="BK294" s="153"/>
      <c r="BL294" s="153"/>
      <c r="BM294" s="153"/>
      <c r="BN294" s="153"/>
      <c r="BO294" s="153"/>
      <c r="BP294" s="153"/>
      <c r="BQ294" s="153"/>
      <c r="BR294" s="153"/>
      <c r="BS294" s="153"/>
      <c r="BT294" s="153"/>
      <c r="BU294" s="95"/>
      <c r="BV294" s="95"/>
      <c r="BW294" s="95"/>
      <c r="BX294" s="95"/>
      <c r="BY294" s="95"/>
      <c r="BZ294" s="95"/>
    </row>
    <row r="295" spans="1:78" s="1221" customFormat="1">
      <c r="A295" s="2469"/>
      <c r="B295" s="1222"/>
      <c r="C295" s="1223"/>
      <c r="D295" s="1223"/>
      <c r="E295" s="1222"/>
      <c r="F295" s="1222"/>
      <c r="G295" s="1270"/>
      <c r="H295" s="1270"/>
      <c r="I295" s="1270"/>
      <c r="J295" s="1270"/>
      <c r="K295" s="1222"/>
      <c r="L295" s="1336"/>
      <c r="M295" s="1226"/>
      <c r="N295" s="1222"/>
      <c r="O295" s="1222"/>
      <c r="P295" s="1270"/>
      <c r="Q295" s="1270"/>
      <c r="R295" s="1270"/>
      <c r="S295" s="1270"/>
      <c r="T295" s="1336"/>
      <c r="U295" s="1255" t="s">
        <v>1765</v>
      </c>
      <c r="V295" s="1449">
        <v>1.3761702127659574</v>
      </c>
      <c r="W295" s="1450">
        <v>78.333333333333329</v>
      </c>
      <c r="X295" s="1268">
        <v>107.8</v>
      </c>
      <c r="Y295" s="1257"/>
      <c r="Z295" s="1268">
        <v>5.25</v>
      </c>
      <c r="AA295" s="1451">
        <v>9.61</v>
      </c>
      <c r="AB295" s="1222"/>
      <c r="AC295" s="1222"/>
      <c r="AD295" s="1222"/>
      <c r="AE295" s="1222"/>
      <c r="AF295" s="1222"/>
      <c r="AG295" s="1222"/>
      <c r="AH295" s="1226"/>
      <c r="AI295" s="1222"/>
      <c r="AJ295" s="1222"/>
      <c r="AK295" s="1222"/>
      <c r="AL295" s="1222"/>
      <c r="AM295" s="1222"/>
      <c r="AN295" s="1222"/>
      <c r="AO295" s="1226"/>
      <c r="AP295" s="1253"/>
      <c r="BJ295" s="95"/>
      <c r="BK295" s="153"/>
      <c r="BL295" s="153"/>
      <c r="BM295" s="153"/>
      <c r="BN295" s="153"/>
      <c r="BO295" s="153"/>
      <c r="BP295" s="153"/>
      <c r="BQ295" s="153"/>
      <c r="BR295" s="153"/>
      <c r="BS295" s="153"/>
      <c r="BT295" s="153"/>
      <c r="BU295" s="95"/>
      <c r="BV295" s="95"/>
      <c r="BW295" s="95"/>
      <c r="BX295" s="95"/>
      <c r="BY295" s="95"/>
      <c r="BZ295" s="95"/>
    </row>
    <row r="296" spans="1:78" s="1221" customFormat="1">
      <c r="A296" s="2469"/>
      <c r="B296" s="1222"/>
      <c r="C296" s="1223"/>
      <c r="D296" s="1223"/>
      <c r="E296" s="1222"/>
      <c r="F296" s="1222"/>
      <c r="G296" s="1270"/>
      <c r="H296" s="1270"/>
      <c r="I296" s="1270"/>
      <c r="J296" s="1270"/>
      <c r="K296" s="1222"/>
      <c r="L296" s="1336"/>
      <c r="M296" s="1226"/>
      <c r="N296" s="1222"/>
      <c r="O296" s="1222"/>
      <c r="P296" s="1270"/>
      <c r="Q296" s="1270"/>
      <c r="R296" s="1270"/>
      <c r="S296" s="1270"/>
      <c r="T296" s="1336"/>
      <c r="U296" s="1255" t="s">
        <v>1766</v>
      </c>
      <c r="V296" s="1452">
        <v>0.5</v>
      </c>
      <c r="W296" s="1453">
        <v>93.6</v>
      </c>
      <c r="X296" s="1454">
        <v>46.8</v>
      </c>
      <c r="Y296" s="1309"/>
      <c r="Z296" s="1454"/>
      <c r="AA296" s="1455">
        <v>6.72</v>
      </c>
      <c r="AB296" s="1222"/>
      <c r="AC296" s="1222"/>
      <c r="AD296" s="1222"/>
      <c r="AE296" s="1222"/>
      <c r="AF296" s="1222"/>
      <c r="AG296" s="1222"/>
      <c r="AH296" s="1226"/>
      <c r="AI296" s="1222"/>
      <c r="AJ296" s="1222"/>
      <c r="AK296" s="1222"/>
      <c r="AL296" s="1222"/>
      <c r="AM296" s="1222"/>
      <c r="AN296" s="1222"/>
      <c r="AO296" s="1226"/>
      <c r="AP296" s="1253"/>
      <c r="BJ296" s="95"/>
      <c r="BK296" s="153"/>
      <c r="BL296" s="153"/>
      <c r="BM296" s="153"/>
      <c r="BN296" s="153"/>
      <c r="BO296" s="153"/>
      <c r="BP296" s="153"/>
      <c r="BQ296" s="153"/>
      <c r="BR296" s="153"/>
      <c r="BS296" s="153"/>
      <c r="BT296" s="153"/>
      <c r="BU296" s="95"/>
      <c r="BV296" s="95"/>
      <c r="BW296" s="95"/>
      <c r="BX296" s="95"/>
      <c r="BY296" s="95"/>
      <c r="BZ296" s="95"/>
    </row>
    <row r="297" spans="1:78" s="1221" customFormat="1">
      <c r="A297" s="2469"/>
      <c r="B297" s="1222"/>
      <c r="C297" s="1223"/>
      <c r="D297" s="1223"/>
      <c r="E297" s="1222"/>
      <c r="F297" s="1222"/>
      <c r="G297" s="1270"/>
      <c r="H297" s="1270"/>
      <c r="I297" s="1270"/>
      <c r="J297" s="1270"/>
      <c r="K297" s="1222"/>
      <c r="L297" s="1336"/>
      <c r="M297" s="1226"/>
      <c r="N297" s="1222"/>
      <c r="O297" s="1222"/>
      <c r="P297" s="1270"/>
      <c r="Q297" s="1270"/>
      <c r="R297" s="1270"/>
      <c r="S297" s="1270"/>
      <c r="T297" s="1336"/>
      <c r="U297" s="1255" t="s">
        <v>1767</v>
      </c>
      <c r="V297" s="1449">
        <v>0.75</v>
      </c>
      <c r="W297" s="1450">
        <v>79</v>
      </c>
      <c r="X297" s="1268">
        <v>59.25</v>
      </c>
      <c r="Y297" s="1257"/>
      <c r="Z297" s="1268"/>
      <c r="AA297" s="1451">
        <v>7.2442999999999991</v>
      </c>
      <c r="AB297" s="1222"/>
      <c r="AC297" s="1222"/>
      <c r="AD297" s="1222"/>
      <c r="AE297" s="1222"/>
      <c r="AF297" s="1222"/>
      <c r="AG297" s="1222"/>
      <c r="AH297" s="1226"/>
      <c r="AI297" s="1222"/>
      <c r="AJ297" s="1222"/>
      <c r="AK297" s="1222"/>
      <c r="AL297" s="1222"/>
      <c r="AM297" s="1222"/>
      <c r="AN297" s="1222"/>
      <c r="AO297" s="1226"/>
      <c r="AP297" s="1253"/>
      <c r="BJ297" s="95"/>
      <c r="BK297" s="153"/>
      <c r="BL297" s="153"/>
      <c r="BM297" s="153"/>
      <c r="BN297" s="153"/>
      <c r="BO297" s="153"/>
      <c r="BP297" s="153"/>
      <c r="BQ297" s="153"/>
      <c r="BR297" s="153"/>
      <c r="BS297" s="153"/>
      <c r="BT297" s="153"/>
      <c r="BU297" s="95"/>
      <c r="BV297" s="95"/>
      <c r="BW297" s="95"/>
      <c r="BX297" s="95"/>
      <c r="BY297" s="95"/>
      <c r="BZ297" s="95"/>
    </row>
    <row r="298" spans="1:78" s="1221" customFormat="1">
      <c r="A298" s="2469"/>
      <c r="B298" s="1222"/>
      <c r="C298" s="1223"/>
      <c r="D298" s="1223"/>
      <c r="E298" s="1222"/>
      <c r="F298" s="1222"/>
      <c r="G298" s="1270"/>
      <c r="H298" s="1270"/>
      <c r="I298" s="1270"/>
      <c r="J298" s="1270"/>
      <c r="K298" s="1222"/>
      <c r="L298" s="1336"/>
      <c r="M298" s="1226"/>
      <c r="N298" s="1222"/>
      <c r="O298" s="1222"/>
      <c r="P298" s="1270"/>
      <c r="Q298" s="1270"/>
      <c r="R298" s="1270"/>
      <c r="S298" s="1270"/>
      <c r="T298" s="1336"/>
      <c r="U298" s="1255" t="s">
        <v>1768</v>
      </c>
      <c r="V298" s="1449">
        <v>0.41499999999999998</v>
      </c>
      <c r="W298" s="1450">
        <v>75</v>
      </c>
      <c r="X298" s="1268">
        <v>31.125</v>
      </c>
      <c r="Y298" s="1257"/>
      <c r="Z298" s="1454"/>
      <c r="AA298" s="1451">
        <v>3.4714</v>
      </c>
      <c r="AB298" s="1222"/>
      <c r="AC298" s="1222"/>
      <c r="AD298" s="1222"/>
      <c r="AE298" s="1222"/>
      <c r="AF298" s="1222"/>
      <c r="AG298" s="1222"/>
      <c r="AH298" s="1226"/>
      <c r="AI298" s="1222"/>
      <c r="AJ298" s="1222"/>
      <c r="AK298" s="1222"/>
      <c r="AL298" s="1222"/>
      <c r="AM298" s="1222"/>
      <c r="AN298" s="1222"/>
      <c r="AO298" s="1226"/>
      <c r="AP298" s="1253"/>
      <c r="BJ298" s="95"/>
      <c r="BK298" s="153"/>
      <c r="BL298" s="153"/>
      <c r="BM298" s="153"/>
      <c r="BN298" s="153"/>
      <c r="BO298" s="153"/>
      <c r="BP298" s="153"/>
      <c r="BQ298" s="153"/>
      <c r="BR298" s="153"/>
      <c r="BS298" s="153"/>
      <c r="BT298" s="153"/>
      <c r="BU298" s="95"/>
      <c r="BV298" s="95"/>
      <c r="BW298" s="95"/>
      <c r="BX298" s="95"/>
      <c r="BY298" s="95"/>
      <c r="BZ298" s="95"/>
    </row>
    <row r="299" spans="1:78" s="1221" customFormat="1">
      <c r="A299" s="2469"/>
      <c r="B299" s="1222"/>
      <c r="C299" s="1223"/>
      <c r="D299" s="1223"/>
      <c r="E299" s="1222"/>
      <c r="F299" s="1222"/>
      <c r="G299" s="1270"/>
      <c r="H299" s="1270"/>
      <c r="I299" s="1270"/>
      <c r="J299" s="1270"/>
      <c r="K299" s="1222"/>
      <c r="L299" s="1336"/>
      <c r="M299" s="1226"/>
      <c r="N299" s="1222"/>
      <c r="O299" s="1222"/>
      <c r="P299" s="1270"/>
      <c r="Q299" s="1270"/>
      <c r="R299" s="1270"/>
      <c r="S299" s="1270"/>
      <c r="T299" s="1336"/>
      <c r="U299" s="1255" t="s">
        <v>1769</v>
      </c>
      <c r="V299" s="1449">
        <v>0.5</v>
      </c>
      <c r="W299" s="1450">
        <v>60</v>
      </c>
      <c r="X299" s="1268">
        <v>30</v>
      </c>
      <c r="Y299" s="1257"/>
      <c r="Z299" s="1454"/>
      <c r="AA299" s="1451">
        <v>8.08</v>
      </c>
      <c r="AB299" s="1222"/>
      <c r="AC299" s="1222"/>
      <c r="AD299" s="1222"/>
      <c r="AE299" s="1222"/>
      <c r="AF299" s="1222"/>
      <c r="AG299" s="1222"/>
      <c r="AH299" s="1226"/>
      <c r="AI299" s="1222"/>
      <c r="AJ299" s="1222"/>
      <c r="AK299" s="1222"/>
      <c r="AL299" s="1222"/>
      <c r="AM299" s="1222"/>
      <c r="AN299" s="1222"/>
      <c r="AO299" s="1226"/>
      <c r="AP299" s="1253"/>
      <c r="BJ299" s="95"/>
      <c r="BK299" s="153"/>
      <c r="BL299" s="153"/>
      <c r="BM299" s="153"/>
      <c r="BN299" s="153"/>
      <c r="BO299" s="153"/>
      <c r="BP299" s="153"/>
      <c r="BQ299" s="153"/>
      <c r="BR299" s="153"/>
      <c r="BS299" s="153"/>
      <c r="BT299" s="153"/>
      <c r="BU299" s="95"/>
      <c r="BV299" s="95"/>
      <c r="BW299" s="95"/>
      <c r="BX299" s="95"/>
      <c r="BY299" s="95"/>
      <c r="BZ299" s="95"/>
    </row>
    <row r="300" spans="1:78" s="1221" customFormat="1">
      <c r="A300" s="2469"/>
      <c r="B300" s="1222"/>
      <c r="C300" s="1223"/>
      <c r="D300" s="1223"/>
      <c r="E300" s="1222"/>
      <c r="F300" s="1222"/>
      <c r="G300" s="1270"/>
      <c r="H300" s="1270"/>
      <c r="I300" s="1270"/>
      <c r="J300" s="1270"/>
      <c r="K300" s="1222"/>
      <c r="L300" s="1336"/>
      <c r="M300" s="1226"/>
      <c r="N300" s="1222"/>
      <c r="O300" s="1222"/>
      <c r="P300" s="1270"/>
      <c r="Q300" s="1270"/>
      <c r="R300" s="1270"/>
      <c r="S300" s="1270"/>
      <c r="T300" s="1336"/>
      <c r="U300" s="1255" t="s">
        <v>1770</v>
      </c>
      <c r="V300" s="1452">
        <v>0.24</v>
      </c>
      <c r="W300" s="1453">
        <v>95</v>
      </c>
      <c r="X300" s="1454">
        <v>22.8</v>
      </c>
      <c r="Y300" s="1309">
        <v>0.5</v>
      </c>
      <c r="Z300" s="1454">
        <v>0.7</v>
      </c>
      <c r="AA300" s="1455">
        <v>0</v>
      </c>
      <c r="AB300" s="1222"/>
      <c r="AC300" s="1222"/>
      <c r="AD300" s="1222"/>
      <c r="AE300" s="1222"/>
      <c r="AF300" s="1222"/>
      <c r="AG300" s="1222"/>
      <c r="AH300" s="1226"/>
      <c r="AI300" s="1222"/>
      <c r="AJ300" s="1222"/>
      <c r="AK300" s="1222"/>
      <c r="AL300" s="1222"/>
      <c r="AM300" s="1222"/>
      <c r="AN300" s="1222"/>
      <c r="AO300" s="1226"/>
      <c r="AP300" s="1253"/>
      <c r="BJ300" s="95"/>
      <c r="BK300" s="153"/>
      <c r="BL300" s="153"/>
      <c r="BM300" s="153"/>
      <c r="BN300" s="153"/>
      <c r="BO300" s="153"/>
      <c r="BP300" s="153"/>
      <c r="BQ300" s="153"/>
      <c r="BR300" s="153"/>
      <c r="BS300" s="153"/>
      <c r="BT300" s="153"/>
      <c r="BU300" s="95"/>
      <c r="BV300" s="95"/>
      <c r="BW300" s="95"/>
      <c r="BX300" s="95"/>
      <c r="BY300" s="95"/>
      <c r="BZ300" s="95"/>
    </row>
    <row r="301" spans="1:78" s="1221" customFormat="1" ht="15" thickBot="1">
      <c r="A301" s="2470"/>
      <c r="B301" s="1222"/>
      <c r="C301" s="1223"/>
      <c r="D301" s="1223"/>
      <c r="E301" s="1222"/>
      <c r="F301" s="1222"/>
      <c r="G301" s="1270"/>
      <c r="H301" s="1270"/>
      <c r="I301" s="1270"/>
      <c r="J301" s="1270"/>
      <c r="K301" s="1222"/>
      <c r="L301" s="1336"/>
      <c r="M301" s="1226"/>
      <c r="N301" s="1222"/>
      <c r="O301" s="1222"/>
      <c r="P301" s="1270"/>
      <c r="Q301" s="1270"/>
      <c r="R301" s="1270"/>
      <c r="S301" s="1270"/>
      <c r="T301" s="1336"/>
      <c r="U301" s="1255" t="s">
        <v>1771</v>
      </c>
      <c r="V301" s="1449">
        <v>0.7285966219572777</v>
      </c>
      <c r="W301" s="1450">
        <v>80.52000000000001</v>
      </c>
      <c r="X301" s="1268">
        <v>58.666599999999995</v>
      </c>
      <c r="Y301" s="1257">
        <v>1.8</v>
      </c>
      <c r="Z301" s="1268">
        <v>2.1</v>
      </c>
      <c r="AA301" s="1451">
        <v>4.6749999999999998</v>
      </c>
      <c r="AB301" s="1222"/>
      <c r="AC301" s="1222"/>
      <c r="AD301" s="1222"/>
      <c r="AE301" s="1222"/>
      <c r="AF301" s="1222"/>
      <c r="AG301" s="1222"/>
      <c r="AH301" s="1226"/>
      <c r="AI301" s="1222"/>
      <c r="AJ301" s="1222"/>
      <c r="AK301" s="1222"/>
      <c r="AL301" s="1222"/>
      <c r="AM301" s="1222"/>
      <c r="AN301" s="1222"/>
      <c r="AO301" s="1226"/>
      <c r="AP301" s="1253"/>
      <c r="BJ301" s="95"/>
      <c r="BK301" s="153"/>
      <c r="BL301" s="153"/>
      <c r="BM301" s="153"/>
      <c r="BN301" s="153"/>
      <c r="BO301" s="153"/>
      <c r="BP301" s="153"/>
      <c r="BQ301" s="153"/>
      <c r="BR301" s="153"/>
      <c r="BS301" s="153"/>
      <c r="BT301" s="153"/>
      <c r="BU301" s="95"/>
      <c r="BV301" s="95"/>
      <c r="BW301" s="95"/>
      <c r="BX301" s="95"/>
      <c r="BY301" s="95"/>
      <c r="BZ301" s="95"/>
    </row>
    <row r="302" spans="1:78" s="1221" customFormat="1" ht="18.600000000000001" thickBot="1">
      <c r="A302" s="1272"/>
      <c r="B302" s="1242"/>
      <c r="C302" s="1243"/>
      <c r="D302" s="1243"/>
      <c r="E302" s="1242"/>
      <c r="F302" s="1242"/>
      <c r="G302" s="1244"/>
      <c r="H302" s="1244"/>
      <c r="I302" s="1244"/>
      <c r="J302" s="1244"/>
      <c r="K302" s="1242"/>
      <c r="L302" s="1244"/>
      <c r="M302" s="1245"/>
      <c r="N302" s="1242"/>
      <c r="O302" s="1242"/>
      <c r="P302" s="1244"/>
      <c r="Q302" s="1244"/>
      <c r="R302" s="1244"/>
      <c r="S302" s="1244"/>
      <c r="T302" s="1244"/>
      <c r="U302" s="1245"/>
      <c r="V302" s="1245"/>
      <c r="W302" s="1242"/>
      <c r="X302" s="1242"/>
      <c r="Y302" s="1242"/>
      <c r="Z302" s="1242"/>
      <c r="AA302" s="1242"/>
      <c r="AB302" s="1245"/>
      <c r="AC302" s="1242"/>
      <c r="AD302" s="1242"/>
      <c r="AE302" s="1242"/>
      <c r="AF302" s="1242"/>
      <c r="AG302" s="1242"/>
      <c r="AH302" s="1245"/>
      <c r="AI302" s="1242"/>
      <c r="AJ302" s="1242"/>
      <c r="AK302" s="1242"/>
      <c r="AL302" s="1242"/>
      <c r="AM302" s="1242"/>
      <c r="AN302" s="1242"/>
      <c r="AO302" s="1245"/>
      <c r="AP302" s="1246"/>
      <c r="BJ302" s="95"/>
      <c r="BK302" s="153"/>
      <c r="BL302" s="153"/>
      <c r="BM302" s="153"/>
      <c r="BN302" s="153"/>
      <c r="BO302" s="153"/>
      <c r="BP302" s="153"/>
      <c r="BQ302" s="153"/>
      <c r="BR302" s="153"/>
      <c r="BS302" s="153"/>
      <c r="BT302" s="153"/>
      <c r="BU302" s="95"/>
      <c r="BV302" s="95"/>
      <c r="BW302" s="95"/>
      <c r="BX302" s="95"/>
      <c r="BY302" s="95"/>
      <c r="BZ302" s="95"/>
    </row>
    <row r="303" spans="1:78" s="1221" customFormat="1">
      <c r="A303" s="1457"/>
      <c r="B303" s="1458"/>
      <c r="C303" s="1459"/>
      <c r="D303" s="1459"/>
      <c r="E303" s="1458"/>
      <c r="F303" s="1458"/>
      <c r="G303" s="1302"/>
      <c r="H303" s="1302"/>
      <c r="I303" s="1302"/>
      <c r="J303" s="1302"/>
      <c r="K303" s="1458"/>
      <c r="L303" s="1302"/>
      <c r="M303" s="1443"/>
      <c r="N303" s="1458"/>
      <c r="O303" s="1458"/>
      <c r="P303" s="1302"/>
      <c r="Q303" s="1302"/>
      <c r="R303" s="1302"/>
      <c r="S303" s="1302"/>
      <c r="T303" s="1302"/>
      <c r="U303" s="1443"/>
      <c r="V303" s="1443"/>
      <c r="W303" s="1458"/>
      <c r="X303" s="1458"/>
      <c r="Y303" s="1458"/>
      <c r="Z303" s="1458"/>
      <c r="AA303" s="1458"/>
      <c r="AB303" s="1443"/>
      <c r="AC303" s="1458"/>
      <c r="AD303" s="1458"/>
      <c r="AE303" s="1458"/>
      <c r="AF303" s="1458"/>
      <c r="AG303" s="1458"/>
      <c r="AH303" s="1443"/>
      <c r="AI303" s="1458"/>
      <c r="AJ303" s="1458"/>
      <c r="AK303" s="1458"/>
      <c r="AL303" s="1458"/>
      <c r="AM303" s="1458"/>
      <c r="AN303" s="1458"/>
      <c r="AO303" s="1443"/>
      <c r="AP303" s="1332"/>
      <c r="BJ303" s="95"/>
      <c r="BK303" s="153"/>
      <c r="BL303" s="153"/>
      <c r="BM303" s="153"/>
      <c r="BN303" s="153"/>
      <c r="BO303" s="153"/>
      <c r="BP303" s="153"/>
      <c r="BQ303" s="153"/>
      <c r="BR303" s="153"/>
      <c r="BS303" s="153"/>
      <c r="BT303" s="153"/>
      <c r="BU303" s="95"/>
      <c r="BV303" s="95"/>
      <c r="BW303" s="95"/>
      <c r="BX303" s="95"/>
      <c r="BY303" s="95"/>
      <c r="BZ303" s="95"/>
    </row>
    <row r="304" spans="1:78" s="1221" customFormat="1">
      <c r="A304" s="1457"/>
      <c r="B304" s="1458"/>
      <c r="C304" s="1459"/>
      <c r="D304" s="1459"/>
      <c r="E304" s="1458"/>
      <c r="F304" s="1458"/>
      <c r="G304" s="1302"/>
      <c r="H304" s="1302"/>
      <c r="I304" s="1302"/>
      <c r="J304" s="1302"/>
      <c r="K304" s="1458"/>
      <c r="L304" s="1302"/>
      <c r="M304" s="1443"/>
      <c r="N304" s="1458"/>
      <c r="O304" s="1458"/>
      <c r="P304" s="1302"/>
      <c r="Q304" s="1302"/>
      <c r="R304" s="1302"/>
      <c r="S304" s="1302"/>
      <c r="T304" s="1302"/>
      <c r="U304" s="1443"/>
      <c r="V304" s="1443"/>
      <c r="W304" s="1458"/>
      <c r="X304" s="1458"/>
      <c r="Y304" s="1458"/>
      <c r="Z304" s="1458"/>
      <c r="AA304" s="1458"/>
      <c r="AB304" s="1443"/>
      <c r="AC304" s="1458"/>
      <c r="AD304" s="1458"/>
      <c r="AE304" s="1458"/>
      <c r="AF304" s="1458"/>
      <c r="AG304" s="1458"/>
      <c r="AH304" s="1443"/>
      <c r="AI304" s="1458"/>
      <c r="AJ304" s="1458"/>
      <c r="AK304" s="1458"/>
      <c r="AL304" s="1458"/>
      <c r="AM304" s="1458"/>
      <c r="AN304" s="1458"/>
      <c r="AO304" s="1443"/>
      <c r="AP304" s="1332"/>
      <c r="BJ304" s="95"/>
      <c r="BK304" s="153"/>
      <c r="BL304" s="153"/>
      <c r="BM304" s="153"/>
      <c r="BN304" s="153"/>
      <c r="BO304" s="153"/>
      <c r="BP304" s="153"/>
      <c r="BQ304" s="153"/>
      <c r="BR304" s="153"/>
      <c r="BS304" s="153"/>
      <c r="BT304" s="153"/>
      <c r="BU304" s="95"/>
      <c r="BV304" s="95"/>
      <c r="BW304" s="95"/>
      <c r="BX304" s="95"/>
      <c r="BY304" s="95"/>
      <c r="BZ304" s="95"/>
    </row>
    <row r="305" spans="1:78" s="1221" customFormat="1">
      <c r="A305" s="1457"/>
      <c r="B305" s="1458"/>
      <c r="C305" s="1459"/>
      <c r="D305" s="1459"/>
      <c r="E305" s="1458"/>
      <c r="F305" s="1458"/>
      <c r="G305" s="1302"/>
      <c r="H305" s="1302"/>
      <c r="I305" s="1302"/>
      <c r="J305" s="1302"/>
      <c r="K305" s="1458"/>
      <c r="L305" s="1302"/>
      <c r="M305" s="1443"/>
      <c r="N305" s="1458"/>
      <c r="O305" s="1458"/>
      <c r="P305" s="1302"/>
      <c r="Q305" s="1302"/>
      <c r="R305" s="1302"/>
      <c r="S305" s="1302"/>
      <c r="T305" s="1302"/>
      <c r="U305" s="1443"/>
      <c r="V305" s="1443"/>
      <c r="W305" s="1458"/>
      <c r="X305" s="1458"/>
      <c r="Y305" s="1458"/>
      <c r="Z305" s="1458"/>
      <c r="AA305" s="1458"/>
      <c r="AB305" s="1443"/>
      <c r="AC305" s="1458"/>
      <c r="AD305" s="1458"/>
      <c r="AE305" s="1458"/>
      <c r="AF305" s="1458"/>
      <c r="AG305" s="1458"/>
      <c r="AH305" s="1443"/>
      <c r="AI305" s="1458"/>
      <c r="AJ305" s="1458"/>
      <c r="AK305" s="1458"/>
      <c r="AL305" s="1458"/>
      <c r="AM305" s="1458"/>
      <c r="AN305" s="1458"/>
      <c r="AO305" s="1443"/>
      <c r="AP305" s="1332"/>
      <c r="BJ305" s="95"/>
      <c r="BK305" s="153"/>
      <c r="BL305" s="153"/>
      <c r="BM305" s="153"/>
      <c r="BN305" s="153"/>
      <c r="BO305" s="153"/>
      <c r="BP305" s="153"/>
      <c r="BQ305" s="153"/>
      <c r="BR305" s="153"/>
      <c r="BS305" s="153"/>
      <c r="BT305" s="153"/>
      <c r="BU305" s="95"/>
      <c r="BV305" s="95"/>
      <c r="BW305" s="95"/>
      <c r="BX305" s="95"/>
      <c r="BY305" s="95"/>
      <c r="BZ305" s="95"/>
    </row>
    <row r="306" spans="1:78" s="1221" customFormat="1">
      <c r="A306" s="1457"/>
      <c r="B306" s="1458"/>
      <c r="C306" s="1459"/>
      <c r="D306" s="1459"/>
      <c r="E306" s="1458"/>
      <c r="F306" s="1458"/>
      <c r="G306" s="1302"/>
      <c r="H306" s="1302"/>
      <c r="I306" s="1302"/>
      <c r="J306" s="1302"/>
      <c r="K306" s="1458"/>
      <c r="L306" s="1302"/>
      <c r="M306" s="1443"/>
      <c r="N306" s="1458"/>
      <c r="O306" s="1458"/>
      <c r="P306" s="1302"/>
      <c r="Q306" s="1302"/>
      <c r="R306" s="1302"/>
      <c r="S306" s="1302"/>
      <c r="T306" s="1302"/>
      <c r="U306" s="1443"/>
      <c r="V306" s="1443"/>
      <c r="W306" s="1458"/>
      <c r="X306" s="1458"/>
      <c r="Y306" s="1458"/>
      <c r="Z306" s="1458"/>
      <c r="AA306" s="1458"/>
      <c r="AB306" s="1443"/>
      <c r="AC306" s="1458"/>
      <c r="AD306" s="1458"/>
      <c r="AE306" s="1458"/>
      <c r="AF306" s="1458"/>
      <c r="AG306" s="1458"/>
      <c r="AH306" s="1443"/>
      <c r="AI306" s="1458"/>
      <c r="AJ306" s="1458"/>
      <c r="AK306" s="1458"/>
      <c r="AL306" s="1458"/>
      <c r="AM306" s="1458"/>
      <c r="AN306" s="1458"/>
      <c r="AO306" s="1443"/>
      <c r="AP306" s="1332"/>
      <c r="BJ306" s="95"/>
      <c r="BK306" s="153"/>
      <c r="BL306" s="153"/>
      <c r="BM306" s="153"/>
      <c r="BN306" s="153"/>
      <c r="BO306" s="153"/>
      <c r="BP306" s="153"/>
      <c r="BQ306" s="153"/>
      <c r="BR306" s="153"/>
      <c r="BS306" s="153"/>
      <c r="BT306" s="153"/>
      <c r="BU306" s="95"/>
      <c r="BV306" s="95"/>
      <c r="BW306" s="95"/>
      <c r="BX306" s="95"/>
      <c r="BY306" s="95"/>
      <c r="BZ306" s="95"/>
    </row>
    <row r="307" spans="1:78" s="1221" customFormat="1">
      <c r="A307" s="1457"/>
      <c r="B307" s="1458"/>
      <c r="C307" s="1459"/>
      <c r="D307" s="1459"/>
      <c r="E307" s="1458"/>
      <c r="F307" s="1458"/>
      <c r="G307" s="1302"/>
      <c r="H307" s="1302"/>
      <c r="I307" s="1302"/>
      <c r="J307" s="1302"/>
      <c r="K307" s="1458"/>
      <c r="L307" s="1302"/>
      <c r="M307" s="1443"/>
      <c r="N307" s="1458"/>
      <c r="O307" s="1458"/>
      <c r="P307" s="1302"/>
      <c r="Q307" s="1302"/>
      <c r="R307" s="1302"/>
      <c r="S307" s="1302"/>
      <c r="T307" s="1302"/>
      <c r="U307" s="1443"/>
      <c r="V307" s="1443"/>
      <c r="W307" s="1458"/>
      <c r="X307" s="1458"/>
      <c r="Y307" s="1458"/>
      <c r="Z307" s="1458"/>
      <c r="AA307" s="1458"/>
      <c r="AB307" s="1443"/>
      <c r="AC307" s="1458"/>
      <c r="AD307" s="1458"/>
      <c r="AE307" s="1458"/>
      <c r="AF307" s="1458"/>
      <c r="AG307" s="1458"/>
      <c r="AH307" s="1443"/>
      <c r="AI307" s="1458"/>
      <c r="AJ307" s="1458"/>
      <c r="AK307" s="1458"/>
      <c r="AL307" s="1458"/>
      <c r="AM307" s="1458"/>
      <c r="AN307" s="1458"/>
      <c r="AO307" s="1443"/>
      <c r="AP307" s="1332"/>
      <c r="BJ307" s="95"/>
      <c r="BK307" s="153"/>
      <c r="BL307" s="153"/>
      <c r="BM307" s="153"/>
      <c r="BN307" s="153"/>
      <c r="BO307" s="153"/>
      <c r="BP307" s="153"/>
      <c r="BQ307" s="153"/>
      <c r="BR307" s="153"/>
      <c r="BS307" s="153"/>
      <c r="BT307" s="153"/>
      <c r="BU307" s="95"/>
      <c r="BV307" s="95"/>
      <c r="BW307" s="95"/>
      <c r="BX307" s="95"/>
      <c r="BY307" s="95"/>
      <c r="BZ307" s="95"/>
    </row>
    <row r="308" spans="1:78" s="1221" customFormat="1">
      <c r="A308" s="1457"/>
      <c r="B308" s="1458"/>
      <c r="C308" s="1459"/>
      <c r="D308" s="1459"/>
      <c r="E308" s="1458"/>
      <c r="F308" s="1458"/>
      <c r="G308" s="1302"/>
      <c r="H308" s="1302"/>
      <c r="I308" s="1302"/>
      <c r="J308" s="1302"/>
      <c r="K308" s="1458"/>
      <c r="L308" s="1302"/>
      <c r="M308" s="1443"/>
      <c r="N308" s="1458"/>
      <c r="O308" s="1458"/>
      <c r="P308" s="1302"/>
      <c r="Q308" s="1302"/>
      <c r="R308" s="1302"/>
      <c r="S308" s="1302"/>
      <c r="T308" s="1302"/>
      <c r="U308" s="1443"/>
      <c r="V308" s="1443"/>
      <c r="W308" s="1458"/>
      <c r="X308" s="1458"/>
      <c r="Y308" s="1458"/>
      <c r="Z308" s="1458"/>
      <c r="AA308" s="1458"/>
      <c r="AB308" s="1443"/>
      <c r="AC308" s="1458"/>
      <c r="AD308" s="1458"/>
      <c r="AE308" s="1458"/>
      <c r="AF308" s="1458"/>
      <c r="AG308" s="1458"/>
      <c r="AH308" s="1443"/>
      <c r="AI308" s="1458"/>
      <c r="AJ308" s="1458"/>
      <c r="AK308" s="1458"/>
      <c r="AL308" s="1458"/>
      <c r="AM308" s="1458"/>
      <c r="AN308" s="1458"/>
      <c r="AO308" s="1443"/>
      <c r="AP308" s="1332"/>
      <c r="BJ308" s="95"/>
      <c r="BK308" s="153"/>
      <c r="BL308" s="153"/>
      <c r="BM308" s="153"/>
      <c r="BN308" s="153"/>
      <c r="BO308" s="153"/>
      <c r="BP308" s="153"/>
      <c r="BQ308" s="153"/>
      <c r="BR308" s="153"/>
      <c r="BS308" s="153"/>
      <c r="BT308" s="153"/>
      <c r="BU308" s="95"/>
      <c r="BV308" s="95"/>
      <c r="BW308" s="95"/>
      <c r="BX308" s="95"/>
      <c r="BY308" s="95"/>
      <c r="BZ308" s="95"/>
    </row>
    <row r="309" spans="1:78" s="1221" customFormat="1">
      <c r="A309" s="1457"/>
      <c r="B309" s="1458"/>
      <c r="C309" s="1459"/>
      <c r="D309" s="1459"/>
      <c r="E309" s="1458"/>
      <c r="F309" s="1458"/>
      <c r="G309" s="1302"/>
      <c r="H309" s="1302"/>
      <c r="I309" s="1302"/>
      <c r="J309" s="1302"/>
      <c r="K309" s="1458"/>
      <c r="L309" s="1302"/>
      <c r="M309" s="1443"/>
      <c r="N309" s="1458"/>
      <c r="O309" s="1458"/>
      <c r="P309" s="1302"/>
      <c r="Q309" s="1302"/>
      <c r="R309" s="1302"/>
      <c r="S309" s="1302"/>
      <c r="T309" s="1302"/>
      <c r="U309" s="1443"/>
      <c r="V309" s="1443"/>
      <c r="W309" s="1458"/>
      <c r="X309" s="1458"/>
      <c r="Y309" s="1458"/>
      <c r="Z309" s="1458"/>
      <c r="AA309" s="1458"/>
      <c r="AB309" s="1443"/>
      <c r="AC309" s="1458"/>
      <c r="AD309" s="1458"/>
      <c r="AE309" s="1458"/>
      <c r="AF309" s="1458"/>
      <c r="AG309" s="1458"/>
      <c r="AH309" s="1443"/>
      <c r="AI309" s="1458"/>
      <c r="AJ309" s="1458"/>
      <c r="AK309" s="1458"/>
      <c r="AL309" s="1458"/>
      <c r="AM309" s="1458"/>
      <c r="AN309" s="1458"/>
      <c r="AO309" s="1443"/>
      <c r="AP309" s="1332"/>
      <c r="BJ309" s="95"/>
      <c r="BK309" s="153"/>
      <c r="BL309" s="153"/>
      <c r="BM309" s="153"/>
      <c r="BN309" s="153"/>
      <c r="BO309" s="153"/>
      <c r="BP309" s="153"/>
      <c r="BQ309" s="153"/>
      <c r="BR309" s="153"/>
      <c r="BS309" s="153"/>
      <c r="BT309" s="153"/>
      <c r="BU309" s="95"/>
      <c r="BV309" s="95"/>
      <c r="BW309" s="95"/>
      <c r="BX309" s="95"/>
      <c r="BY309" s="95"/>
      <c r="BZ309" s="95"/>
    </row>
    <row r="310" spans="1:78" s="1221" customFormat="1">
      <c r="A310" s="1457"/>
      <c r="B310" s="1458"/>
      <c r="C310" s="1459"/>
      <c r="D310" s="1459"/>
      <c r="E310" s="1458"/>
      <c r="F310" s="1458"/>
      <c r="G310" s="1302"/>
      <c r="H310" s="1302"/>
      <c r="I310" s="1302"/>
      <c r="J310" s="1302"/>
      <c r="K310" s="1458"/>
      <c r="L310" s="1302"/>
      <c r="M310" s="1443"/>
      <c r="N310" s="1458"/>
      <c r="O310" s="1458"/>
      <c r="P310" s="1302"/>
      <c r="Q310" s="1302"/>
      <c r="R310" s="1302"/>
      <c r="S310" s="1302"/>
      <c r="T310" s="1302"/>
      <c r="U310" s="1443"/>
      <c r="V310" s="1443"/>
      <c r="W310" s="1458"/>
      <c r="X310" s="1458"/>
      <c r="Y310" s="1458"/>
      <c r="Z310" s="1458"/>
      <c r="AA310" s="1458"/>
      <c r="AB310" s="1443"/>
      <c r="AC310" s="1458"/>
      <c r="AD310" s="1458"/>
      <c r="AE310" s="1458"/>
      <c r="AF310" s="1458"/>
      <c r="AG310" s="1458"/>
      <c r="AH310" s="1443"/>
      <c r="AI310" s="1458"/>
      <c r="AJ310" s="1458"/>
      <c r="AK310" s="1458"/>
      <c r="AL310" s="1458"/>
      <c r="AM310" s="1458"/>
      <c r="AN310" s="1458"/>
      <c r="AO310" s="1443"/>
      <c r="AP310" s="1332"/>
      <c r="BJ310" s="95"/>
      <c r="BK310" s="153"/>
      <c r="BL310" s="153"/>
      <c r="BM310" s="153"/>
      <c r="BN310" s="153"/>
      <c r="BO310" s="153"/>
      <c r="BP310" s="153"/>
      <c r="BQ310" s="153"/>
      <c r="BR310" s="153"/>
      <c r="BS310" s="153"/>
      <c r="BT310" s="153"/>
      <c r="BU310" s="95"/>
      <c r="BV310" s="95"/>
      <c r="BW310" s="95"/>
      <c r="BX310" s="95"/>
      <c r="BY310" s="95"/>
      <c r="BZ310" s="95"/>
    </row>
    <row r="311" spans="1:78" s="1221" customFormat="1" ht="9" customHeight="1">
      <c r="A311" s="1457"/>
      <c r="B311" s="1458"/>
      <c r="C311" s="1459"/>
      <c r="D311" s="1459"/>
      <c r="E311" s="1458"/>
      <c r="F311" s="1458"/>
      <c r="G311" s="1302"/>
      <c r="H311" s="1302"/>
      <c r="I311" s="1302"/>
      <c r="J311" s="1302"/>
      <c r="K311" s="1458"/>
      <c r="L311" s="1302"/>
      <c r="M311" s="1443"/>
      <c r="N311" s="1458"/>
      <c r="O311" s="1458"/>
      <c r="P311" s="1302"/>
      <c r="Q311" s="1302"/>
      <c r="R311" s="1302"/>
      <c r="S311" s="1302"/>
      <c r="T311" s="1302"/>
      <c r="U311" s="1443"/>
      <c r="V311" s="1443"/>
      <c r="W311" s="1458"/>
      <c r="X311" s="1458"/>
      <c r="Y311" s="1458"/>
      <c r="Z311" s="1458"/>
      <c r="AA311" s="1458"/>
      <c r="AB311" s="1443"/>
      <c r="AC311" s="1458"/>
      <c r="AD311" s="1458"/>
      <c r="AE311" s="1458"/>
      <c r="AF311" s="1458"/>
      <c r="AG311" s="1458"/>
      <c r="AH311" s="1443"/>
      <c r="AI311" s="1458"/>
      <c r="AJ311" s="1458"/>
      <c r="AK311" s="1458"/>
      <c r="AL311" s="1458"/>
      <c r="AM311" s="1458"/>
      <c r="AN311" s="1458"/>
      <c r="AO311" s="1443"/>
      <c r="AP311" s="1332"/>
      <c r="BJ311" s="95"/>
      <c r="BK311" s="153"/>
      <c r="BL311" s="153"/>
      <c r="BM311" s="153"/>
      <c r="BN311" s="153"/>
      <c r="BO311" s="153"/>
      <c r="BP311" s="153"/>
      <c r="BQ311" s="153"/>
      <c r="BR311" s="153"/>
      <c r="BS311" s="153"/>
      <c r="BT311" s="153"/>
      <c r="BU311" s="95"/>
      <c r="BV311" s="95"/>
      <c r="BW311" s="95"/>
      <c r="BX311" s="95"/>
      <c r="BY311" s="95"/>
      <c r="BZ311" s="95"/>
    </row>
    <row r="312" spans="1:78" s="1221" customFormat="1">
      <c r="A312" s="1457"/>
      <c r="B312" s="1458"/>
      <c r="C312" s="1459"/>
      <c r="D312" s="1459"/>
      <c r="E312" s="1458"/>
      <c r="F312" s="1458"/>
      <c r="G312" s="1302"/>
      <c r="H312" s="1302"/>
      <c r="I312" s="1302"/>
      <c r="J312" s="1302"/>
      <c r="K312" s="1458"/>
      <c r="L312" s="1302"/>
      <c r="M312" s="1443"/>
      <c r="N312" s="1458"/>
      <c r="O312" s="1458"/>
      <c r="P312" s="1302"/>
      <c r="Q312" s="1302"/>
      <c r="R312" s="1302"/>
      <c r="S312" s="1302"/>
      <c r="T312" s="1302"/>
      <c r="U312" s="1443"/>
      <c r="V312" s="1443"/>
      <c r="W312" s="1458"/>
      <c r="X312" s="1458"/>
      <c r="Y312" s="1458"/>
      <c r="Z312" s="1458"/>
      <c r="AA312" s="1458"/>
      <c r="AB312" s="1443"/>
      <c r="AC312" s="1458"/>
      <c r="AD312" s="1458"/>
      <c r="AE312" s="1458"/>
      <c r="AF312" s="1458"/>
      <c r="AG312" s="1458"/>
      <c r="AH312" s="1443"/>
      <c r="AI312" s="1458"/>
      <c r="AJ312" s="1458"/>
      <c r="AK312" s="1458"/>
      <c r="AL312" s="1458"/>
      <c r="AM312" s="1458"/>
      <c r="AN312" s="1458"/>
      <c r="AO312" s="1443"/>
      <c r="AP312" s="1332"/>
      <c r="BJ312" s="95"/>
      <c r="BK312" s="153"/>
      <c r="BL312" s="153"/>
      <c r="BM312" s="153"/>
      <c r="BN312" s="153"/>
      <c r="BO312" s="153"/>
      <c r="BP312" s="153"/>
      <c r="BQ312" s="153"/>
      <c r="BR312" s="153"/>
      <c r="BS312" s="153"/>
      <c r="BT312" s="153"/>
      <c r="BU312" s="95"/>
      <c r="BV312" s="95"/>
      <c r="BW312" s="95"/>
      <c r="BX312" s="95"/>
      <c r="BY312" s="95"/>
      <c r="BZ312" s="95"/>
    </row>
    <row r="313" spans="1:78" s="1221" customFormat="1">
      <c r="A313" s="1457"/>
      <c r="B313" s="1458"/>
      <c r="C313" s="1459"/>
      <c r="D313" s="1459"/>
      <c r="E313" s="1458"/>
      <c r="F313" s="1458"/>
      <c r="G313" s="1302"/>
      <c r="H313" s="1302"/>
      <c r="I313" s="1302"/>
      <c r="J313" s="1302"/>
      <c r="K313" s="1458"/>
      <c r="L313" s="1302"/>
      <c r="M313" s="1443"/>
      <c r="N313" s="1458"/>
      <c r="O313" s="1458"/>
      <c r="P313" s="1302"/>
      <c r="Q313" s="1302"/>
      <c r="R313" s="1302"/>
      <c r="S313" s="1302"/>
      <c r="T313" s="1302"/>
      <c r="U313" s="1443"/>
      <c r="V313" s="1443"/>
      <c r="W313" s="1458"/>
      <c r="X313" s="1458"/>
      <c r="Y313" s="1458"/>
      <c r="Z313" s="1458"/>
      <c r="AA313" s="1458"/>
      <c r="AB313" s="1443"/>
      <c r="AC313" s="1458"/>
      <c r="AD313" s="1458"/>
      <c r="AE313" s="1458"/>
      <c r="AF313" s="1458"/>
      <c r="AG313" s="1458"/>
      <c r="AH313" s="1443"/>
      <c r="AI313" s="1458"/>
      <c r="AJ313" s="1458"/>
      <c r="AK313" s="1458"/>
      <c r="AL313" s="1458"/>
      <c r="AM313" s="1458"/>
      <c r="AN313" s="1458"/>
      <c r="AO313" s="1443"/>
      <c r="AP313" s="1332"/>
      <c r="BJ313" s="95"/>
      <c r="BK313" s="153"/>
      <c r="BL313" s="153"/>
      <c r="BM313" s="153"/>
      <c r="BN313" s="153"/>
      <c r="BO313" s="153"/>
      <c r="BP313" s="153"/>
      <c r="BQ313" s="153"/>
      <c r="BR313" s="153"/>
      <c r="BS313" s="153"/>
      <c r="BT313" s="153"/>
      <c r="BU313" s="95"/>
      <c r="BV313" s="95"/>
      <c r="BW313" s="95"/>
      <c r="BX313" s="95"/>
      <c r="BY313" s="95"/>
      <c r="BZ313" s="95"/>
    </row>
  </sheetData>
  <sheetProtection formatCells="0" formatColumns="0" formatRows="0" insertColumns="0" insertRows="0" insertHyperlinks="0" deleteColumns="0" deleteRows="0" sort="0" autoFilter="0" pivotTables="0"/>
  <mergeCells count="55">
    <mergeCell ref="A5:A14"/>
    <mergeCell ref="B1:L1"/>
    <mergeCell ref="M1:R1"/>
    <mergeCell ref="U1:AP1"/>
    <mergeCell ref="A2:A3"/>
    <mergeCell ref="D2:L2"/>
    <mergeCell ref="M2:R2"/>
    <mergeCell ref="V2:AG2"/>
    <mergeCell ref="AH2:AN2"/>
    <mergeCell ref="AO2:AP2"/>
    <mergeCell ref="A17:A33"/>
    <mergeCell ref="H17:H18"/>
    <mergeCell ref="L17:L19"/>
    <mergeCell ref="A37:A55"/>
    <mergeCell ref="H37:H38"/>
    <mergeCell ref="L37:L39"/>
    <mergeCell ref="L93:L95"/>
    <mergeCell ref="A57:A70"/>
    <mergeCell ref="A72:A81"/>
    <mergeCell ref="K72:K73"/>
    <mergeCell ref="A83:A92"/>
    <mergeCell ref="A93:A103"/>
    <mergeCell ref="H93:H94"/>
    <mergeCell ref="K93:K94"/>
    <mergeCell ref="A106:A125"/>
    <mergeCell ref="H106:H107"/>
    <mergeCell ref="K106:K107"/>
    <mergeCell ref="L106:L108"/>
    <mergeCell ref="N106:N107"/>
    <mergeCell ref="A149:A182"/>
    <mergeCell ref="G149:G157"/>
    <mergeCell ref="K149:K157"/>
    <mergeCell ref="A127:A147"/>
    <mergeCell ref="G127:G132"/>
    <mergeCell ref="K127:K132"/>
    <mergeCell ref="A184:A193"/>
    <mergeCell ref="G184:G186"/>
    <mergeCell ref="K184:K186"/>
    <mergeCell ref="A218:A237"/>
    <mergeCell ref="A198:A209"/>
    <mergeCell ref="K198:K199"/>
    <mergeCell ref="L198:L199"/>
    <mergeCell ref="A211:A216"/>
    <mergeCell ref="K211:K213"/>
    <mergeCell ref="A239:A246"/>
    <mergeCell ref="A250:A259"/>
    <mergeCell ref="G250:G251"/>
    <mergeCell ref="K250:K251"/>
    <mergeCell ref="A261:A275"/>
    <mergeCell ref="K261:K262"/>
    <mergeCell ref="A277:A301"/>
    <mergeCell ref="K277:K283"/>
    <mergeCell ref="L277:L278"/>
    <mergeCell ref="L279:L280"/>
    <mergeCell ref="L281:L282"/>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A36"/>
  <sheetViews>
    <sheetView zoomScale="85" zoomScaleNormal="85" workbookViewId="0">
      <selection activeCell="A5" sqref="A5:A6"/>
    </sheetView>
  </sheetViews>
  <sheetFormatPr defaultRowHeight="14.4"/>
  <cols>
    <col min="1" max="1" width="22.88671875" customWidth="1"/>
    <col min="2" max="2" width="12.5546875" customWidth="1"/>
    <col min="3" max="3" width="17.6640625" customWidth="1"/>
    <col min="4" max="4" width="15.44140625" customWidth="1"/>
    <col min="5" max="5" width="18.33203125" customWidth="1"/>
    <col min="6" max="6" width="16.6640625" customWidth="1"/>
    <col min="7" max="7" width="18.5546875" customWidth="1"/>
    <col min="8" max="8" width="19.33203125" customWidth="1"/>
    <col min="9" max="9" width="18.5546875" customWidth="1"/>
    <col min="10" max="10" width="13.33203125" customWidth="1"/>
    <col min="11" max="11" width="15.33203125" customWidth="1"/>
    <col min="12" max="12" width="18" customWidth="1"/>
    <col min="13" max="13" width="19" customWidth="1"/>
    <col min="14" max="14" width="22.88671875" customWidth="1"/>
    <col min="15" max="15" width="30.33203125" customWidth="1"/>
    <col min="16" max="16" width="25.5546875" customWidth="1"/>
    <col min="17" max="17" width="22.6640625" customWidth="1"/>
    <col min="18" max="18" width="22.6640625" style="95" customWidth="1"/>
    <col min="20" max="20" width="31.33203125" customWidth="1"/>
    <col min="21" max="21" width="31" customWidth="1"/>
    <col min="22" max="22" width="26.6640625" customWidth="1"/>
    <col min="23" max="23" width="23.88671875" customWidth="1"/>
    <col min="24" max="24" width="19.88671875" customWidth="1"/>
    <col min="25" max="25" width="22.6640625" customWidth="1"/>
    <col min="26" max="26" width="28.44140625" customWidth="1"/>
    <col min="27" max="27" width="15.6640625" customWidth="1"/>
  </cols>
  <sheetData>
    <row r="1" spans="1:27" s="95" customFormat="1" ht="15" thickBot="1">
      <c r="A1"/>
      <c r="B1"/>
      <c r="C1"/>
      <c r="D1"/>
      <c r="E1"/>
      <c r="F1"/>
      <c r="G1"/>
      <c r="H1"/>
      <c r="I1"/>
      <c r="J1"/>
      <c r="K1"/>
    </row>
    <row r="2" spans="1:27" s="95" customFormat="1" ht="18">
      <c r="A2" s="1764" t="s">
        <v>643</v>
      </c>
      <c r="B2" s="1765"/>
      <c r="C2" s="1765"/>
      <c r="D2" s="1765"/>
      <c r="E2" s="1765"/>
      <c r="F2" s="1765"/>
      <c r="G2" s="1765"/>
      <c r="H2" s="1765"/>
      <c r="I2" s="1765"/>
      <c r="J2" s="1765"/>
      <c r="K2" s="1766"/>
      <c r="L2" s="1764" t="s">
        <v>648</v>
      </c>
      <c r="M2" s="1766"/>
    </row>
    <row r="3" spans="1:27" s="95" customFormat="1" ht="14.4" customHeight="1">
      <c r="A3" s="233" t="s">
        <v>400</v>
      </c>
      <c r="B3" s="232" t="s">
        <v>205</v>
      </c>
      <c r="C3" s="1776" t="s">
        <v>655</v>
      </c>
      <c r="D3" s="1777"/>
      <c r="E3" s="1777"/>
      <c r="F3" s="1777"/>
      <c r="G3" s="1778"/>
      <c r="H3" s="1776" t="s">
        <v>184</v>
      </c>
      <c r="I3" s="1778"/>
      <c r="J3" s="244" t="s">
        <v>303</v>
      </c>
      <c r="K3" s="245"/>
      <c r="L3" s="1767" t="s">
        <v>647</v>
      </c>
      <c r="M3" s="1768"/>
    </row>
    <row r="4" spans="1:27" s="95" customFormat="1" ht="59.4" customHeight="1">
      <c r="A4" s="233"/>
      <c r="B4" s="232"/>
      <c r="C4" s="253" t="s">
        <v>658</v>
      </c>
      <c r="D4" s="253" t="s">
        <v>659</v>
      </c>
      <c r="E4" s="253" t="s">
        <v>660</v>
      </c>
      <c r="F4" s="253" t="s">
        <v>661</v>
      </c>
      <c r="G4" s="254" t="s">
        <v>240</v>
      </c>
      <c r="H4" s="232" t="s">
        <v>657</v>
      </c>
      <c r="I4" s="232" t="s">
        <v>656</v>
      </c>
      <c r="J4" s="232" t="s">
        <v>657</v>
      </c>
      <c r="K4" s="234" t="s">
        <v>656</v>
      </c>
      <c r="L4" s="249" t="s">
        <v>645</v>
      </c>
      <c r="M4" s="234" t="s">
        <v>646</v>
      </c>
    </row>
    <row r="5" spans="1:27" s="95" customFormat="1" ht="14.4" customHeight="1">
      <c r="A5" s="1769" t="s">
        <v>401</v>
      </c>
      <c r="B5" s="230">
        <v>16</v>
      </c>
      <c r="C5" s="1771">
        <f>$Z$18</f>
        <v>2515.3256803408462</v>
      </c>
      <c r="D5" s="1771">
        <f>$AA$18</f>
        <v>838.44189344694871</v>
      </c>
      <c r="E5" s="255">
        <f>Z$24</f>
        <v>3697.6515142433013</v>
      </c>
      <c r="F5" s="255">
        <f>AA24</f>
        <v>1232.550504747767</v>
      </c>
      <c r="G5" s="1771">
        <f>$I$17</f>
        <v>555.57178945707778</v>
      </c>
      <c r="H5" s="231">
        <f>G18</f>
        <v>1182.3258339024551</v>
      </c>
      <c r="I5" s="231">
        <f t="shared" ref="I5:I10" si="0">H5/3</f>
        <v>394.10861130081838</v>
      </c>
      <c r="J5" s="231">
        <f>Q18</f>
        <v>2830.0678350721046</v>
      </c>
      <c r="K5" s="236">
        <f>R18</f>
        <v>943.3559450240349</v>
      </c>
      <c r="L5" s="250">
        <v>340</v>
      </c>
      <c r="M5" s="236">
        <v>3120</v>
      </c>
      <c r="N5" s="91"/>
      <c r="O5" s="91"/>
    </row>
    <row r="6" spans="1:27" s="95" customFormat="1">
      <c r="A6" s="1770"/>
      <c r="B6" s="230">
        <v>17</v>
      </c>
      <c r="C6" s="1772"/>
      <c r="D6" s="1772"/>
      <c r="E6" s="255">
        <f>$Z$26</f>
        <v>4288.8144311945289</v>
      </c>
      <c r="F6" s="255">
        <f>AA26</f>
        <v>1429.6048103981764</v>
      </c>
      <c r="G6" s="1772"/>
      <c r="H6" s="231">
        <f>G20</f>
        <v>1773.4887508536826</v>
      </c>
      <c r="I6" s="231">
        <f t="shared" si="0"/>
        <v>591.16291695122754</v>
      </c>
      <c r="J6" s="231">
        <f>Q20</f>
        <v>3421.2307520233326</v>
      </c>
      <c r="K6" s="236">
        <f>R20</f>
        <v>1140.4102506744441</v>
      </c>
      <c r="L6" s="250">
        <v>529</v>
      </c>
      <c r="M6" s="236">
        <v>3309</v>
      </c>
      <c r="N6" s="91"/>
      <c r="O6" s="91"/>
    </row>
    <row r="7" spans="1:27" s="95" customFormat="1" ht="14.4" customHeight="1">
      <c r="A7" s="1769" t="s">
        <v>402</v>
      </c>
      <c r="B7" s="230">
        <v>18</v>
      </c>
      <c r="C7" s="1772"/>
      <c r="D7" s="1772"/>
      <c r="E7" s="255">
        <f>$Z$28</f>
        <v>4879.9773481457569</v>
      </c>
      <c r="F7" s="255">
        <f>AA28</f>
        <v>1626.6591160485857</v>
      </c>
      <c r="G7" s="1772"/>
      <c r="H7" s="231">
        <f>G22</f>
        <v>2364.6516678049106</v>
      </c>
      <c r="I7" s="231">
        <f t="shared" si="0"/>
        <v>788.21722260163688</v>
      </c>
      <c r="J7" s="231">
        <f>Q22</f>
        <v>4012.3936689745606</v>
      </c>
      <c r="K7" s="236">
        <f>R22</f>
        <v>1337.4645563248534</v>
      </c>
      <c r="L7" s="250">
        <v>710</v>
      </c>
      <c r="M7" s="236">
        <v>3614</v>
      </c>
      <c r="N7" s="91"/>
      <c r="O7" s="91"/>
    </row>
    <row r="8" spans="1:27" s="95" customFormat="1">
      <c r="A8" s="1774"/>
      <c r="B8" s="230">
        <v>19</v>
      </c>
      <c r="C8" s="1772"/>
      <c r="D8" s="1772"/>
      <c r="E8" s="255">
        <f>$Z$30</f>
        <v>5471.1402650969849</v>
      </c>
      <c r="F8" s="255">
        <f>AA30</f>
        <v>1823.713421698995</v>
      </c>
      <c r="G8" s="1772"/>
      <c r="H8" s="231">
        <f>G24</f>
        <v>2955.8145847561386</v>
      </c>
      <c r="I8" s="231">
        <f t="shared" si="0"/>
        <v>985.27152825204621</v>
      </c>
      <c r="J8" s="231">
        <f>Q24</f>
        <v>4603.5565859257886</v>
      </c>
      <c r="K8" s="236">
        <f>R24</f>
        <v>1534.5188619752628</v>
      </c>
      <c r="L8" s="251" t="s">
        <v>22</v>
      </c>
      <c r="M8" s="238" t="s">
        <v>22</v>
      </c>
      <c r="N8" s="91"/>
      <c r="O8" s="91"/>
    </row>
    <row r="9" spans="1:27" s="95" customFormat="1">
      <c r="A9" s="1774"/>
      <c r="B9" s="230">
        <v>20</v>
      </c>
      <c r="C9" s="1772"/>
      <c r="D9" s="1772"/>
      <c r="E9" s="255">
        <f>$Z$32</f>
        <v>6062.3031820482111</v>
      </c>
      <c r="F9" s="255">
        <f>AA32</f>
        <v>2020.7677273494039</v>
      </c>
      <c r="G9" s="1772"/>
      <c r="H9" s="231">
        <f>G26</f>
        <v>3546.9775017073648</v>
      </c>
      <c r="I9" s="231">
        <f t="shared" si="0"/>
        <v>1182.3258339024549</v>
      </c>
      <c r="J9" s="231">
        <f>Q26</f>
        <v>5194.7195028770147</v>
      </c>
      <c r="K9" s="236">
        <f>R26</f>
        <v>1731.5731676256717</v>
      </c>
      <c r="L9" s="251" t="s">
        <v>22</v>
      </c>
      <c r="M9" s="238" t="s">
        <v>22</v>
      </c>
      <c r="N9" s="91"/>
      <c r="O9" s="91"/>
    </row>
    <row r="10" spans="1:27" s="95" customFormat="1" ht="15" thickBot="1">
      <c r="A10" s="1775"/>
      <c r="B10" s="241">
        <v>21</v>
      </c>
      <c r="C10" s="1773"/>
      <c r="D10" s="1773"/>
      <c r="E10" s="256">
        <f>$Z$34</f>
        <v>6653.4660989994409</v>
      </c>
      <c r="F10" s="256">
        <f>AA34</f>
        <v>2217.8220329998135</v>
      </c>
      <c r="G10" s="1773"/>
      <c r="H10" s="242">
        <f>G28</f>
        <v>4138.1404186585951</v>
      </c>
      <c r="I10" s="242">
        <f t="shared" si="0"/>
        <v>1379.3801395528651</v>
      </c>
      <c r="J10" s="242">
        <f>Q28</f>
        <v>5785.8824198282446</v>
      </c>
      <c r="K10" s="243">
        <f>R28</f>
        <v>1928.6274732760814</v>
      </c>
      <c r="L10" s="252" t="s">
        <v>22</v>
      </c>
      <c r="M10" s="240" t="s">
        <v>22</v>
      </c>
      <c r="N10" s="91"/>
      <c r="O10" s="91"/>
    </row>
    <row r="12" spans="1:27" s="95" customFormat="1" ht="21">
      <c r="A12" s="184" t="s">
        <v>634</v>
      </c>
    </row>
    <row r="13" spans="1:27" ht="15" customHeight="1">
      <c r="A13" s="95"/>
      <c r="B13" s="95"/>
      <c r="C13" s="95"/>
      <c r="D13" s="95"/>
      <c r="E13" s="95"/>
      <c r="F13" s="95"/>
      <c r="G13" s="95"/>
      <c r="H13" s="95"/>
      <c r="I13" s="95"/>
      <c r="J13" s="95"/>
      <c r="K13" s="95"/>
      <c r="L13" s="95"/>
      <c r="M13" s="95"/>
      <c r="N13" s="95"/>
      <c r="O13" s="95"/>
      <c r="P13" s="95"/>
      <c r="Q13" s="95"/>
    </row>
    <row r="14" spans="1:27" ht="15" customHeight="1">
      <c r="A14" s="1758" t="s">
        <v>1844</v>
      </c>
      <c r="B14" s="1758"/>
      <c r="C14" s="1758"/>
      <c r="D14" s="1758"/>
      <c r="E14" s="1758"/>
      <c r="F14" s="1758"/>
      <c r="G14" s="1758"/>
      <c r="H14" s="1758"/>
      <c r="I14" s="1758"/>
      <c r="J14" s="1758"/>
      <c r="K14" s="1758"/>
      <c r="L14" s="1758"/>
      <c r="M14" s="1758"/>
      <c r="N14" s="1758"/>
      <c r="O14" s="1758"/>
      <c r="P14" s="1758"/>
      <c r="Q14" s="1758"/>
      <c r="R14" s="1758"/>
      <c r="U14" s="1760" t="s">
        <v>175</v>
      </c>
      <c r="V14" s="1761"/>
      <c r="W14" s="1761"/>
      <c r="X14" s="1761"/>
      <c r="Y14" s="1761"/>
      <c r="Z14" s="1761"/>
      <c r="AA14" s="1762"/>
    </row>
    <row r="15" spans="1:27" ht="30" customHeight="1">
      <c r="A15" s="1758" t="s">
        <v>626</v>
      </c>
      <c r="B15" s="1758"/>
      <c r="C15" s="1758"/>
      <c r="D15" s="1758"/>
      <c r="E15" s="1758" t="s">
        <v>360</v>
      </c>
      <c r="F15" s="1758"/>
      <c r="G15" s="1758"/>
      <c r="H15" s="1758"/>
      <c r="I15" s="1759" t="s">
        <v>620</v>
      </c>
      <c r="J15" s="1759"/>
      <c r="K15" s="1759"/>
      <c r="L15" s="1759"/>
      <c r="M15" s="1759"/>
      <c r="N15" s="1759"/>
      <c r="O15" s="1759"/>
      <c r="P15" s="1759"/>
      <c r="Q15" s="1759"/>
      <c r="R15" s="1759"/>
      <c r="U15" s="213"/>
      <c r="V15" s="214"/>
      <c r="W15" s="214"/>
      <c r="X15" s="214"/>
      <c r="Y15" s="214"/>
      <c r="Z15" s="214"/>
      <c r="AA15" s="215"/>
    </row>
    <row r="16" spans="1:27" ht="101.25" customHeight="1">
      <c r="A16" s="140" t="s">
        <v>400</v>
      </c>
      <c r="B16" s="140" t="s">
        <v>205</v>
      </c>
      <c r="C16" s="140" t="s">
        <v>399</v>
      </c>
      <c r="D16" s="140" t="s">
        <v>206</v>
      </c>
      <c r="E16" s="140" t="s">
        <v>630</v>
      </c>
      <c r="F16" s="140" t="s">
        <v>619</v>
      </c>
      <c r="G16" s="140" t="s">
        <v>618</v>
      </c>
      <c r="H16" s="140" t="s">
        <v>617</v>
      </c>
      <c r="I16" s="140" t="s">
        <v>724</v>
      </c>
      <c r="J16" s="185" t="s">
        <v>621</v>
      </c>
      <c r="K16" s="185" t="s">
        <v>622</v>
      </c>
      <c r="L16" s="185" t="s">
        <v>261</v>
      </c>
      <c r="M16" s="186" t="s">
        <v>623</v>
      </c>
      <c r="N16" s="186" t="s">
        <v>624</v>
      </c>
      <c r="O16" s="186" t="s">
        <v>629</v>
      </c>
      <c r="P16" s="186" t="s">
        <v>625</v>
      </c>
      <c r="Q16" s="187" t="s">
        <v>721</v>
      </c>
      <c r="R16" s="187" t="s">
        <v>722</v>
      </c>
      <c r="U16" s="140" t="s">
        <v>204</v>
      </c>
      <c r="V16" s="140" t="s">
        <v>282</v>
      </c>
      <c r="W16" s="140" t="s">
        <v>206</v>
      </c>
      <c r="X16" s="140" t="s">
        <v>142</v>
      </c>
      <c r="Y16" s="140" t="s">
        <v>208</v>
      </c>
      <c r="Z16" s="140" t="s">
        <v>207</v>
      </c>
      <c r="AA16" s="140" t="s">
        <v>209</v>
      </c>
    </row>
    <row r="17" spans="1:27" ht="45" customHeight="1">
      <c r="A17" s="1749" t="s">
        <v>401</v>
      </c>
      <c r="B17" s="1749">
        <v>16</v>
      </c>
      <c r="C17" s="58">
        <v>24000</v>
      </c>
      <c r="D17" s="58">
        <v>2</v>
      </c>
      <c r="E17" s="59">
        <f>X23-X$17</f>
        <v>1096.5803087999996</v>
      </c>
      <c r="F17" s="59">
        <f>Y23-Y$17</f>
        <v>548.29015439999978</v>
      </c>
      <c r="G17" s="59">
        <f>Z23-Z$17</f>
        <v>1182.3258339024549</v>
      </c>
      <c r="H17" s="59">
        <f>AA23-AA$17</f>
        <v>591.16291695122743</v>
      </c>
      <c r="I17" s="1750">
        <f>'Labor Results Matrix'!$L$20*'Labor Adjustment'!$B$5*Inflation!$D$3</f>
        <v>555.57178945707778</v>
      </c>
      <c r="J17" s="183">
        <v>0.05</v>
      </c>
      <c r="K17" s="97">
        <v>18</v>
      </c>
      <c r="L17" s="97">
        <f>K17/3</f>
        <v>6</v>
      </c>
      <c r="M17" s="3">
        <f>((1+$J17)^L17-1)/($J17*(1+$J17)^L17)</f>
        <v>5.0756920672674468</v>
      </c>
      <c r="N17" s="3">
        <f>((1+$J17)^K17-1)/($J17*(1+$J17)^K17)</f>
        <v>11.689586902650337</v>
      </c>
      <c r="O17" s="3">
        <f>M17/N17</f>
        <v>0.43420628201298145</v>
      </c>
      <c r="P17" s="212">
        <f>O17*($Z$17+$I$17)</f>
        <v>1055.0539537203128</v>
      </c>
      <c r="Q17" s="9">
        <f>P17+G17</f>
        <v>2237.3797876227677</v>
      </c>
      <c r="R17" s="9">
        <f>Q17/D17</f>
        <v>1118.6898938113839</v>
      </c>
      <c r="U17" s="1751">
        <v>14</v>
      </c>
      <c r="V17" s="58">
        <v>24000</v>
      </c>
      <c r="W17" s="58">
        <v>2</v>
      </c>
      <c r="X17" s="59">
        <f>('Equipment Results Matrix'!$T$143+'Equipment Results Matrix'!$R$136*V17+'Equipment Results Matrix'!$R$137*U17+'Equipment Results Matrix'!$R$138)*1.2</f>
        <v>1738.3457358539997</v>
      </c>
      <c r="Y17" s="59">
        <f>X17/W17</f>
        <v>869.17286792699986</v>
      </c>
      <c r="Z17" s="59">
        <f>X17*Inflation!$D$3</f>
        <v>1874.2731884393268</v>
      </c>
      <c r="AA17" s="59">
        <f>Y17*Inflation!$D$3</f>
        <v>937.13659421966338</v>
      </c>
    </row>
    <row r="18" spans="1:27" ht="15" customHeight="1">
      <c r="A18" s="1749"/>
      <c r="B18" s="1749"/>
      <c r="C18" s="58">
        <v>36000</v>
      </c>
      <c r="D18" s="58">
        <v>3</v>
      </c>
      <c r="E18" s="59">
        <f>X24-X$18</f>
        <v>1096.5803087999998</v>
      </c>
      <c r="F18" s="59">
        <f>Y24-Y$18</f>
        <v>365.52676959999997</v>
      </c>
      <c r="G18" s="59">
        <f>Z24-Z$18</f>
        <v>1182.3258339024551</v>
      </c>
      <c r="H18" s="59">
        <f>AA24-AA$18</f>
        <v>394.10861130081832</v>
      </c>
      <c r="I18" s="1750"/>
      <c r="J18" s="183">
        <v>0.05</v>
      </c>
      <c r="K18" s="97">
        <v>18</v>
      </c>
      <c r="L18" s="97">
        <f t="shared" ref="L18:L28" si="1">K18/3</f>
        <v>6</v>
      </c>
      <c r="M18" s="3">
        <f t="shared" ref="M18:M28" si="2">((1+$J18)^L18-1)/($J18*(1+$J18)^L18)</f>
        <v>5.0756920672674468</v>
      </c>
      <c r="N18" s="3">
        <f t="shared" ref="N18:N28" si="3">((1+$J18)^K18-1)/($J18*(1+$J18)^K18)</f>
        <v>11.689586902650337</v>
      </c>
      <c r="O18" s="3">
        <f t="shared" ref="O18:O28" si="4">M18/N18</f>
        <v>0.43420628201298145</v>
      </c>
      <c r="P18" s="212">
        <f>O18*$Z$18+$I$17</f>
        <v>1647.7420011696497</v>
      </c>
      <c r="Q18" s="9">
        <f t="shared" ref="Q18:Q30" si="5">P18+G18</f>
        <v>2830.0678350721046</v>
      </c>
      <c r="R18" s="9">
        <f>Q18/D18</f>
        <v>943.3559450240349</v>
      </c>
      <c r="U18" s="1752"/>
      <c r="V18" s="58">
        <v>36000</v>
      </c>
      <c r="W18" s="58">
        <v>3</v>
      </c>
      <c r="X18" s="59">
        <f>('Equipment Results Matrix'!$T$143+'Equipment Results Matrix'!$R$136*V18+'Equipment Results Matrix'!$R$137*U17+'Equipment Results Matrix'!$R$138)*1.2</f>
        <v>2332.9073358539995</v>
      </c>
      <c r="Y18" s="59">
        <f>X18/W18</f>
        <v>777.63577861799979</v>
      </c>
      <c r="Z18" s="59">
        <f>X18*Inflation!$D$3</f>
        <v>2515.3256803408462</v>
      </c>
      <c r="AA18" s="59">
        <f>Y18*Inflation!$D$3</f>
        <v>838.44189344694871</v>
      </c>
    </row>
    <row r="19" spans="1:27" ht="20.25" customHeight="1">
      <c r="A19" s="1749"/>
      <c r="B19" s="1749">
        <v>17</v>
      </c>
      <c r="C19" s="58">
        <v>24000</v>
      </c>
      <c r="D19" s="58">
        <v>2</v>
      </c>
      <c r="E19" s="59">
        <f>X25-X$17</f>
        <v>1644.8704632000001</v>
      </c>
      <c r="F19" s="59">
        <f>Y25-Y$17</f>
        <v>822.43523160000007</v>
      </c>
      <c r="G19" s="59">
        <f>Z25-Z$17</f>
        <v>1773.4887508536829</v>
      </c>
      <c r="H19" s="59">
        <f>AA25-AA$17</f>
        <v>886.74437542684143</v>
      </c>
      <c r="I19" s="1750"/>
      <c r="J19" s="183">
        <v>0.05</v>
      </c>
      <c r="K19" s="97">
        <v>18</v>
      </c>
      <c r="L19" s="97">
        <f t="shared" si="1"/>
        <v>6</v>
      </c>
      <c r="M19" s="3">
        <f t="shared" si="2"/>
        <v>5.0756920672674468</v>
      </c>
      <c r="N19" s="3">
        <f t="shared" si="3"/>
        <v>11.689586902650337</v>
      </c>
      <c r="O19" s="3">
        <f t="shared" si="4"/>
        <v>0.43420628201298145</v>
      </c>
      <c r="P19" s="212">
        <f>O19*($Z$17+$I$17)</f>
        <v>1055.0539537203128</v>
      </c>
      <c r="Q19" s="9">
        <f t="shared" si="5"/>
        <v>2828.5427045739957</v>
      </c>
      <c r="R19" s="9">
        <f t="shared" ref="R19:R28" si="6">Q19/D19</f>
        <v>1414.2713522869979</v>
      </c>
    </row>
    <row r="20" spans="1:27" ht="57.75" customHeight="1">
      <c r="A20" s="1749"/>
      <c r="B20" s="1749"/>
      <c r="C20" s="58">
        <v>36000</v>
      </c>
      <c r="D20" s="58">
        <v>3</v>
      </c>
      <c r="E20" s="59">
        <f>X26-X$18</f>
        <v>1644.8704631999999</v>
      </c>
      <c r="F20" s="59">
        <f>Y26-Y$18</f>
        <v>548.29015440000001</v>
      </c>
      <c r="G20" s="59">
        <f>Z26-Z$18</f>
        <v>1773.4887508536826</v>
      </c>
      <c r="H20" s="59">
        <f>AA26-AA$18</f>
        <v>591.16291695122766</v>
      </c>
      <c r="I20" s="1750"/>
      <c r="J20" s="183">
        <v>0.05</v>
      </c>
      <c r="K20" s="97">
        <v>18</v>
      </c>
      <c r="L20" s="97">
        <f t="shared" si="1"/>
        <v>6</v>
      </c>
      <c r="M20" s="3">
        <f t="shared" si="2"/>
        <v>5.0756920672674468</v>
      </c>
      <c r="N20" s="3">
        <f t="shared" si="3"/>
        <v>11.689586902650337</v>
      </c>
      <c r="O20" s="3">
        <f t="shared" si="4"/>
        <v>0.43420628201298145</v>
      </c>
      <c r="P20" s="212">
        <f>O20*$Z$18+$I$17</f>
        <v>1647.7420011696497</v>
      </c>
      <c r="Q20" s="9">
        <f t="shared" si="5"/>
        <v>3421.2307520233326</v>
      </c>
      <c r="R20" s="9">
        <f t="shared" si="6"/>
        <v>1140.4102506744441</v>
      </c>
      <c r="T20" s="1753" t="s">
        <v>522</v>
      </c>
      <c r="U20" s="1754"/>
      <c r="V20" s="1754"/>
      <c r="W20" s="1754"/>
      <c r="X20" s="1754"/>
      <c r="Y20" s="1754"/>
      <c r="Z20" s="1754"/>
      <c r="AA20" s="1754"/>
    </row>
    <row r="21" spans="1:27" ht="30" customHeight="1">
      <c r="A21" s="1748" t="s">
        <v>402</v>
      </c>
      <c r="B21" s="1749">
        <v>18</v>
      </c>
      <c r="C21" s="58">
        <v>24000</v>
      </c>
      <c r="D21" s="58">
        <v>2</v>
      </c>
      <c r="E21" s="59">
        <f>X27-X$17</f>
        <v>2193.1606176000005</v>
      </c>
      <c r="F21" s="59">
        <f>Y27-Y$17</f>
        <v>1096.5803088000002</v>
      </c>
      <c r="G21" s="59">
        <f>Z27-Z$17</f>
        <v>2364.6516678049102</v>
      </c>
      <c r="H21" s="59">
        <f>AA27-AA$17</f>
        <v>1182.3258339024551</v>
      </c>
      <c r="I21" s="1750"/>
      <c r="J21" s="183">
        <v>0.05</v>
      </c>
      <c r="K21" s="97">
        <v>18</v>
      </c>
      <c r="L21" s="97">
        <f t="shared" si="1"/>
        <v>6</v>
      </c>
      <c r="M21" s="3">
        <f t="shared" si="2"/>
        <v>5.0756920672674468</v>
      </c>
      <c r="N21" s="3">
        <f t="shared" si="3"/>
        <v>11.689586902650337</v>
      </c>
      <c r="O21" s="3">
        <f t="shared" si="4"/>
        <v>0.43420628201298145</v>
      </c>
      <c r="P21" s="212">
        <f>O21*($Z$17+$I$17)</f>
        <v>1055.0539537203128</v>
      </c>
      <c r="Q21" s="9">
        <f t="shared" si="5"/>
        <v>3419.7056215252233</v>
      </c>
      <c r="R21" s="9">
        <f t="shared" si="6"/>
        <v>1709.8528107626116</v>
      </c>
      <c r="T21" s="1755"/>
      <c r="U21" s="1756"/>
      <c r="V21" s="1756"/>
      <c r="W21" s="1756"/>
      <c r="X21" s="1756"/>
      <c r="Y21" s="1756"/>
      <c r="Z21" s="1756"/>
      <c r="AA21" s="1756"/>
    </row>
    <row r="22" spans="1:27" ht="15" customHeight="1">
      <c r="A22" s="1748"/>
      <c r="B22" s="1749"/>
      <c r="C22" s="58">
        <v>36000</v>
      </c>
      <c r="D22" s="58">
        <v>3</v>
      </c>
      <c r="E22" s="59">
        <f>X28-X$18</f>
        <v>2193.1606176</v>
      </c>
      <c r="F22" s="59">
        <f>Y28-Y$18</f>
        <v>731.05353920000005</v>
      </c>
      <c r="G22" s="59">
        <f>Z28-Z$18</f>
        <v>2364.6516678049106</v>
      </c>
      <c r="H22" s="59">
        <f>AA28-AA$18</f>
        <v>788.21722260163699</v>
      </c>
      <c r="I22" s="1750"/>
      <c r="J22" s="183">
        <v>0.05</v>
      </c>
      <c r="K22" s="97">
        <v>18</v>
      </c>
      <c r="L22" s="97">
        <f t="shared" si="1"/>
        <v>6</v>
      </c>
      <c r="M22" s="3">
        <f t="shared" si="2"/>
        <v>5.0756920672674468</v>
      </c>
      <c r="N22" s="3">
        <f t="shared" si="3"/>
        <v>11.689586902650337</v>
      </c>
      <c r="O22" s="3">
        <f t="shared" si="4"/>
        <v>0.43420628201298145</v>
      </c>
      <c r="P22" s="212">
        <f>O22*$Z$18+$I$17</f>
        <v>1647.7420011696497</v>
      </c>
      <c r="Q22" s="9">
        <f t="shared" si="5"/>
        <v>4012.3936689745606</v>
      </c>
      <c r="R22" s="9">
        <f t="shared" si="6"/>
        <v>1337.4645563248534</v>
      </c>
      <c r="T22" s="140" t="s">
        <v>400</v>
      </c>
      <c r="U22" s="140" t="s">
        <v>205</v>
      </c>
      <c r="V22" s="140" t="s">
        <v>399</v>
      </c>
      <c r="W22" s="140" t="s">
        <v>206</v>
      </c>
      <c r="X22" s="140" t="s">
        <v>627</v>
      </c>
      <c r="Y22" s="140" t="s">
        <v>632</v>
      </c>
      <c r="Z22" s="140" t="s">
        <v>631</v>
      </c>
      <c r="AA22" s="140" t="s">
        <v>633</v>
      </c>
    </row>
    <row r="23" spans="1:27" ht="18.75" customHeight="1">
      <c r="A23" s="1748"/>
      <c r="B23" s="1749">
        <v>19</v>
      </c>
      <c r="C23" s="58">
        <v>24000</v>
      </c>
      <c r="D23" s="58">
        <v>2</v>
      </c>
      <c r="E23" s="59">
        <f>X29-X$17</f>
        <v>2741.4507719999992</v>
      </c>
      <c r="F23" s="59">
        <f>Y29-Y$17</f>
        <v>1370.7253859999996</v>
      </c>
      <c r="G23" s="59">
        <f>Z29-Z$17</f>
        <v>2955.8145847561373</v>
      </c>
      <c r="H23" s="59">
        <f>AA29-AA$17</f>
        <v>1477.9072923780686</v>
      </c>
      <c r="I23" s="1750"/>
      <c r="J23" s="183">
        <v>0.05</v>
      </c>
      <c r="K23" s="97">
        <v>18</v>
      </c>
      <c r="L23" s="97">
        <f t="shared" si="1"/>
        <v>6</v>
      </c>
      <c r="M23" s="3">
        <f t="shared" si="2"/>
        <v>5.0756920672674468</v>
      </c>
      <c r="N23" s="3">
        <f t="shared" si="3"/>
        <v>11.689586902650337</v>
      </c>
      <c r="O23" s="3">
        <f t="shared" si="4"/>
        <v>0.43420628201298145</v>
      </c>
      <c r="P23" s="212">
        <f>O23*($Z$17+$I$17)</f>
        <v>1055.0539537203128</v>
      </c>
      <c r="Q23" s="9">
        <f t="shared" si="5"/>
        <v>4010.8685384764503</v>
      </c>
      <c r="R23" s="9">
        <f t="shared" si="6"/>
        <v>2005.4342692382252</v>
      </c>
      <c r="T23" s="1749" t="s">
        <v>401</v>
      </c>
      <c r="U23" s="1749">
        <v>16</v>
      </c>
      <c r="V23" s="58">
        <v>24000</v>
      </c>
      <c r="W23" s="58">
        <v>2</v>
      </c>
      <c r="X23" s="59">
        <f>(('Equipment Results Matrix'!$T$143+'Equipment Results Matrix'!$R$136*V23+'Equipment Results Matrix'!$R$137*U23+'Equipment Results Matrix'!$R$138)*1.2)</f>
        <v>2834.9260446539993</v>
      </c>
      <c r="Y23" s="59">
        <f>X23/W23</f>
        <v>1417.4630223269996</v>
      </c>
      <c r="Z23" s="59">
        <f>X23*Inflation!$D$3</f>
        <v>3056.5990223417816</v>
      </c>
      <c r="AA23" s="59">
        <f>Y23*Inflation!$D$3</f>
        <v>1528.2995111708908</v>
      </c>
    </row>
    <row r="24" spans="1:27" ht="18.75" customHeight="1">
      <c r="A24" s="1748"/>
      <c r="B24" s="1749"/>
      <c r="C24" s="58">
        <v>36000</v>
      </c>
      <c r="D24" s="58">
        <v>3</v>
      </c>
      <c r="E24" s="59">
        <f>X30-X$18</f>
        <v>2741.4507720000006</v>
      </c>
      <c r="F24" s="59">
        <f>Y30-Y$18</f>
        <v>913.81692400000031</v>
      </c>
      <c r="G24" s="59">
        <f>Z30-Z$18</f>
        <v>2955.8145847561386</v>
      </c>
      <c r="H24" s="59">
        <f>AA30-AA$18</f>
        <v>985.27152825204632</v>
      </c>
      <c r="I24" s="1750"/>
      <c r="J24" s="183">
        <v>0.05</v>
      </c>
      <c r="K24" s="97">
        <v>18</v>
      </c>
      <c r="L24" s="97">
        <f t="shared" si="1"/>
        <v>6</v>
      </c>
      <c r="M24" s="3">
        <f t="shared" si="2"/>
        <v>5.0756920672674468</v>
      </c>
      <c r="N24" s="3">
        <f t="shared" si="3"/>
        <v>11.689586902650337</v>
      </c>
      <c r="O24" s="3">
        <f t="shared" si="4"/>
        <v>0.43420628201298145</v>
      </c>
      <c r="P24" s="212">
        <f>O24*$Z$18+$I$17</f>
        <v>1647.7420011696497</v>
      </c>
      <c r="Q24" s="9">
        <f t="shared" si="5"/>
        <v>4603.5565859257886</v>
      </c>
      <c r="R24" s="9">
        <f t="shared" si="6"/>
        <v>1534.5188619752628</v>
      </c>
      <c r="T24" s="1749"/>
      <c r="U24" s="1749"/>
      <c r="V24" s="58">
        <v>36000</v>
      </c>
      <c r="W24" s="58">
        <v>3</v>
      </c>
      <c r="X24" s="59">
        <f>('Equipment Results Matrix'!$T$143+'Equipment Results Matrix'!$R$136*V24+'Equipment Results Matrix'!$R$137*U23+'Equipment Results Matrix'!$R$138)*1.2</f>
        <v>3429.4876446539993</v>
      </c>
      <c r="Y24" s="59">
        <f t="shared" ref="Y24:Y30" si="7">X24/W24</f>
        <v>1143.1625482179998</v>
      </c>
      <c r="Z24" s="59">
        <f>X24*Inflation!$D$3</f>
        <v>3697.6515142433013</v>
      </c>
      <c r="AA24" s="59">
        <f>Y24*Inflation!$D$3</f>
        <v>1232.550504747767</v>
      </c>
    </row>
    <row r="25" spans="1:27" ht="18.75" customHeight="1">
      <c r="A25" s="1748"/>
      <c r="B25" s="1749">
        <v>20</v>
      </c>
      <c r="C25" s="58">
        <v>24000</v>
      </c>
      <c r="D25" s="58">
        <v>2</v>
      </c>
      <c r="E25" s="59">
        <f>X31-X$17</f>
        <v>3289.7409263999989</v>
      </c>
      <c r="F25" s="59">
        <f>Y31-Y$17</f>
        <v>1644.8704631999994</v>
      </c>
      <c r="G25" s="59">
        <f>Z31-Z$17</f>
        <v>3546.9775017073644</v>
      </c>
      <c r="H25" s="59">
        <f>AA31-AA$17</f>
        <v>1773.4887508536822</v>
      </c>
      <c r="I25" s="1750"/>
      <c r="J25" s="183">
        <v>0.05</v>
      </c>
      <c r="K25" s="97">
        <v>18</v>
      </c>
      <c r="L25" s="97">
        <f t="shared" si="1"/>
        <v>6</v>
      </c>
      <c r="M25" s="3">
        <f t="shared" si="2"/>
        <v>5.0756920672674468</v>
      </c>
      <c r="N25" s="3">
        <f t="shared" si="3"/>
        <v>11.689586902650337</v>
      </c>
      <c r="O25" s="3">
        <f t="shared" si="4"/>
        <v>0.43420628201298145</v>
      </c>
      <c r="P25" s="212">
        <f>O25*($Z$17+$I$17)</f>
        <v>1055.0539537203128</v>
      </c>
      <c r="Q25" s="9">
        <f t="shared" si="5"/>
        <v>4602.0314554276774</v>
      </c>
      <c r="R25" s="9">
        <f t="shared" si="6"/>
        <v>2301.0157277138387</v>
      </c>
      <c r="T25" s="1749"/>
      <c r="U25" s="1749">
        <v>17</v>
      </c>
      <c r="V25" s="58">
        <v>24000</v>
      </c>
      <c r="W25" s="58">
        <v>2</v>
      </c>
      <c r="X25" s="59">
        <f>(('Equipment Results Matrix'!$T$143+'Equipment Results Matrix'!$R$136*V25+'Equipment Results Matrix'!$R$137*U25+'Equipment Results Matrix'!$R$138)*1.2)</f>
        <v>3383.2161990539998</v>
      </c>
      <c r="Y25" s="59">
        <f t="shared" si="7"/>
        <v>1691.6080995269999</v>
      </c>
      <c r="Z25" s="59">
        <f>X25*Inflation!$D$3</f>
        <v>3647.7619392930096</v>
      </c>
      <c r="AA25" s="59">
        <f>Y25*Inflation!$D$3</f>
        <v>1823.8809696465048</v>
      </c>
    </row>
    <row r="26" spans="1:27" ht="45" customHeight="1">
      <c r="A26" s="1748"/>
      <c r="B26" s="1749"/>
      <c r="C26" s="58">
        <v>36000</v>
      </c>
      <c r="D26" s="58">
        <v>3</v>
      </c>
      <c r="E26" s="59">
        <f>X32-X$18</f>
        <v>3289.7409263999994</v>
      </c>
      <c r="F26" s="59">
        <f>Y32-Y$18</f>
        <v>1096.5803087999998</v>
      </c>
      <c r="G26" s="59">
        <f>Z32-Z$18</f>
        <v>3546.9775017073648</v>
      </c>
      <c r="H26" s="59">
        <f>AA32-AA$18</f>
        <v>1182.3258339024551</v>
      </c>
      <c r="I26" s="1750"/>
      <c r="J26" s="183">
        <v>0.05</v>
      </c>
      <c r="K26" s="97">
        <v>18</v>
      </c>
      <c r="L26" s="97">
        <f t="shared" si="1"/>
        <v>6</v>
      </c>
      <c r="M26" s="3">
        <f t="shared" si="2"/>
        <v>5.0756920672674468</v>
      </c>
      <c r="N26" s="3">
        <f t="shared" si="3"/>
        <v>11.689586902650337</v>
      </c>
      <c r="O26" s="3">
        <f t="shared" si="4"/>
        <v>0.43420628201298145</v>
      </c>
      <c r="P26" s="212">
        <f>O26*$Z$18+$I$17</f>
        <v>1647.7420011696497</v>
      </c>
      <c r="Q26" s="9">
        <f t="shared" si="5"/>
        <v>5194.7195028770147</v>
      </c>
      <c r="R26" s="9">
        <f t="shared" si="6"/>
        <v>1731.5731676256717</v>
      </c>
      <c r="T26" s="1749"/>
      <c r="U26" s="1749"/>
      <c r="V26" s="58">
        <v>36000</v>
      </c>
      <c r="W26" s="58">
        <v>3</v>
      </c>
      <c r="X26" s="59">
        <f>('Equipment Results Matrix'!$T$143+'Equipment Results Matrix'!$R$136*V26+'Equipment Results Matrix'!$R$137*U25+'Equipment Results Matrix'!$R$138)*1.2</f>
        <v>3977.7777990539994</v>
      </c>
      <c r="Y26" s="59">
        <f t="shared" si="7"/>
        <v>1325.9259330179998</v>
      </c>
      <c r="Z26" s="59">
        <f>X26*Inflation!$D$3</f>
        <v>4288.8144311945289</v>
      </c>
      <c r="AA26" s="59">
        <f>Y26*Inflation!$D$3</f>
        <v>1429.6048103981764</v>
      </c>
    </row>
    <row r="27" spans="1:27">
      <c r="A27" s="1748"/>
      <c r="B27" s="1749">
        <v>21</v>
      </c>
      <c r="C27" s="58">
        <v>24000</v>
      </c>
      <c r="D27" s="58">
        <v>2</v>
      </c>
      <c r="E27" s="59">
        <f>X33-X$17</f>
        <v>3838.0310808000004</v>
      </c>
      <c r="F27" s="59">
        <f>Y33-Y$17</f>
        <v>1919.0155404000002</v>
      </c>
      <c r="G27" s="59">
        <f>Z33-Z$17</f>
        <v>4138.1404186585942</v>
      </c>
      <c r="H27" s="59">
        <f>AA33-AA$17</f>
        <v>2069.0702093292971</v>
      </c>
      <c r="I27" s="1750"/>
      <c r="J27" s="183">
        <v>0.05</v>
      </c>
      <c r="K27" s="97">
        <v>18</v>
      </c>
      <c r="L27" s="97">
        <f t="shared" si="1"/>
        <v>6</v>
      </c>
      <c r="M27" s="3">
        <f t="shared" si="2"/>
        <v>5.0756920672674468</v>
      </c>
      <c r="N27" s="3">
        <f t="shared" si="3"/>
        <v>11.689586902650337</v>
      </c>
      <c r="O27" s="3">
        <f t="shared" si="4"/>
        <v>0.43420628201298145</v>
      </c>
      <c r="P27" s="212">
        <f>O27*($Z$17+$I$17)</f>
        <v>1055.0539537203128</v>
      </c>
      <c r="Q27" s="9">
        <f t="shared" si="5"/>
        <v>5193.1943723789072</v>
      </c>
      <c r="R27" s="9">
        <f t="shared" si="6"/>
        <v>2596.5971861894536</v>
      </c>
      <c r="T27" s="1748" t="s">
        <v>402</v>
      </c>
      <c r="U27" s="1749">
        <v>18</v>
      </c>
      <c r="V27" s="58">
        <v>24000</v>
      </c>
      <c r="W27" s="58">
        <v>2</v>
      </c>
      <c r="X27" s="59">
        <f>(('Equipment Results Matrix'!$T$143+'Equipment Results Matrix'!$R$136*V27+'Equipment Results Matrix'!$R$137*U27+'Equipment Results Matrix'!$R$138)*1.2)</f>
        <v>3931.506353454</v>
      </c>
      <c r="Y27" s="59">
        <f t="shared" si="7"/>
        <v>1965.753176727</v>
      </c>
      <c r="Z27" s="59">
        <f>X27*Inflation!$D$3</f>
        <v>4238.9248562442372</v>
      </c>
      <c r="AA27" s="59">
        <f>Y27*Inflation!$D$3</f>
        <v>2119.4624281221186</v>
      </c>
    </row>
    <row r="28" spans="1:27" ht="18.75" customHeight="1">
      <c r="A28" s="1748"/>
      <c r="B28" s="1749"/>
      <c r="C28" s="58">
        <v>36000</v>
      </c>
      <c r="D28" s="58">
        <v>3</v>
      </c>
      <c r="E28" s="59">
        <f>X34-X$18</f>
        <v>3838.0310808000008</v>
      </c>
      <c r="F28" s="59">
        <f>Y34-Y$18</f>
        <v>1279.3436936000003</v>
      </c>
      <c r="G28" s="59">
        <f>Z34-Z$18</f>
        <v>4138.1404186585951</v>
      </c>
      <c r="H28" s="59">
        <f>AA34-AA$18</f>
        <v>1379.3801395528649</v>
      </c>
      <c r="I28" s="1750"/>
      <c r="J28" s="183">
        <v>0.05</v>
      </c>
      <c r="K28" s="97">
        <v>18</v>
      </c>
      <c r="L28" s="97">
        <f t="shared" si="1"/>
        <v>6</v>
      </c>
      <c r="M28" s="3">
        <f t="shared" si="2"/>
        <v>5.0756920672674468</v>
      </c>
      <c r="N28" s="3">
        <f t="shared" si="3"/>
        <v>11.689586902650337</v>
      </c>
      <c r="O28" s="3">
        <f t="shared" si="4"/>
        <v>0.43420628201298145</v>
      </c>
      <c r="P28" s="212">
        <f>O28*$Z$18+$I$17</f>
        <v>1647.7420011696497</v>
      </c>
      <c r="Q28" s="9">
        <f t="shared" si="5"/>
        <v>5785.8824198282446</v>
      </c>
      <c r="R28" s="9">
        <f t="shared" si="6"/>
        <v>1928.6274732760814</v>
      </c>
      <c r="T28" s="1748"/>
      <c r="U28" s="1749"/>
      <c r="V28" s="58">
        <v>36000</v>
      </c>
      <c r="W28" s="58">
        <v>3</v>
      </c>
      <c r="X28" s="59">
        <f>('Equipment Results Matrix'!$T$143+'Equipment Results Matrix'!$R$136*V28+'Equipment Results Matrix'!$R$137*U27+'Equipment Results Matrix'!$R$138)*1.2</f>
        <v>4526.0679534539995</v>
      </c>
      <c r="Y28" s="59">
        <f t="shared" si="7"/>
        <v>1508.6893178179998</v>
      </c>
      <c r="Z28" s="59">
        <f>X28*Inflation!$D$3</f>
        <v>4879.9773481457569</v>
      </c>
      <c r="AA28" s="59">
        <f>Y28*Inflation!$D$3</f>
        <v>1626.6591160485857</v>
      </c>
    </row>
    <row r="29" spans="1:27" s="95" customFormat="1" ht="18.75" customHeight="1">
      <c r="A29" s="1757" t="s">
        <v>22</v>
      </c>
      <c r="B29" s="1749">
        <v>15</v>
      </c>
      <c r="C29" s="58">
        <v>24000</v>
      </c>
      <c r="D29" s="58">
        <v>2</v>
      </c>
      <c r="E29" s="59">
        <f>X35-X$17</f>
        <v>548.29015439999944</v>
      </c>
      <c r="F29" s="59">
        <f>Y35-Y$17</f>
        <v>274.14507719999972</v>
      </c>
      <c r="G29" s="59">
        <f>Z35-Z$17</f>
        <v>591.16291695122686</v>
      </c>
      <c r="H29" s="59">
        <f>AA35-AA$17</f>
        <v>295.58145847561343</v>
      </c>
      <c r="I29" s="1750"/>
      <c r="J29" s="183">
        <v>0.05</v>
      </c>
      <c r="K29" s="97">
        <v>18</v>
      </c>
      <c r="L29" s="97">
        <f t="shared" ref="L29:L30" si="8">K29/3</f>
        <v>6</v>
      </c>
      <c r="M29" s="3">
        <f t="shared" ref="M29:M30" si="9">((1+$J29)^L29-1)/($J29*(1+$J29)^L29)</f>
        <v>5.0756920672674468</v>
      </c>
      <c r="N29" s="3">
        <f t="shared" ref="N29:N30" si="10">((1+$J29)^K29-1)/($J29*(1+$J29)^K29)</f>
        <v>11.689586902650337</v>
      </c>
      <c r="O29" s="3">
        <f t="shared" ref="O29:O30" si="11">M29/N29</f>
        <v>0.43420628201298145</v>
      </c>
      <c r="P29" s="212">
        <f>O29*($Z$17+$I$17)</f>
        <v>1055.0539537203128</v>
      </c>
      <c r="Q29" s="9">
        <f t="shared" si="5"/>
        <v>1646.2168706715397</v>
      </c>
      <c r="R29" s="9">
        <f>Q29/D29</f>
        <v>823.10843533576985</v>
      </c>
      <c r="T29" s="1748"/>
      <c r="U29" s="1749">
        <v>19</v>
      </c>
      <c r="V29" s="58">
        <v>24000</v>
      </c>
      <c r="W29" s="58">
        <v>2</v>
      </c>
      <c r="X29" s="59">
        <f>(('Equipment Results Matrix'!$T$143+'Equipment Results Matrix'!$R$136*V29+'Equipment Results Matrix'!$R$137*U29+'Equipment Results Matrix'!$R$138)*1.2)</f>
        <v>4479.7965078539992</v>
      </c>
      <c r="Y29" s="59">
        <f t="shared" si="7"/>
        <v>2239.8982539269996</v>
      </c>
      <c r="Z29" s="59">
        <f>X29*Inflation!$D$3</f>
        <v>4830.0877731954643</v>
      </c>
      <c r="AA29" s="59">
        <f>Y29*Inflation!$D$3</f>
        <v>2415.0438865977321</v>
      </c>
    </row>
    <row r="30" spans="1:27" s="95" customFormat="1">
      <c r="A30" s="1757"/>
      <c r="B30" s="1749"/>
      <c r="C30" s="58">
        <v>36000</v>
      </c>
      <c r="D30" s="58">
        <v>3</v>
      </c>
      <c r="E30" s="59">
        <f>X36-X$18</f>
        <v>548.29015439999921</v>
      </c>
      <c r="F30" s="59">
        <f>Y36-Y$18</f>
        <v>182.76338479999981</v>
      </c>
      <c r="G30" s="59">
        <f>Z36-Z$18</f>
        <v>591.16291695122663</v>
      </c>
      <c r="H30" s="59">
        <f>AA36-AA$18</f>
        <v>197.05430565040899</v>
      </c>
      <c r="I30" s="1750"/>
      <c r="J30" s="183">
        <v>0.05</v>
      </c>
      <c r="K30" s="97">
        <v>18</v>
      </c>
      <c r="L30" s="97">
        <f t="shared" si="8"/>
        <v>6</v>
      </c>
      <c r="M30" s="3">
        <f t="shared" si="9"/>
        <v>5.0756920672674468</v>
      </c>
      <c r="N30" s="3">
        <f t="shared" si="10"/>
        <v>11.689586902650337</v>
      </c>
      <c r="O30" s="3">
        <f t="shared" si="11"/>
        <v>0.43420628201298145</v>
      </c>
      <c r="P30" s="212">
        <f>O30*$Z$18+$I$17</f>
        <v>1647.7420011696497</v>
      </c>
      <c r="Q30" s="9">
        <f t="shared" si="5"/>
        <v>2238.9049181208766</v>
      </c>
      <c r="R30" s="9">
        <f t="shared" ref="R30" si="12">Q30/D30</f>
        <v>746.30163937362556</v>
      </c>
      <c r="T30" s="1748"/>
      <c r="U30" s="1749"/>
      <c r="V30" s="58">
        <v>36000</v>
      </c>
      <c r="W30" s="58">
        <v>3</v>
      </c>
      <c r="X30" s="59">
        <f>('Equipment Results Matrix'!$T$143+'Equipment Results Matrix'!$R$136*V30+'Equipment Results Matrix'!$R$137*U29+'Equipment Results Matrix'!$R$138)*1.2</f>
        <v>5074.3581078540001</v>
      </c>
      <c r="Y30" s="59">
        <f t="shared" si="7"/>
        <v>1691.4527026180001</v>
      </c>
      <c r="Z30" s="59">
        <f>X30*Inflation!$D$3</f>
        <v>5471.1402650969849</v>
      </c>
      <c r="AA30" s="59">
        <f>Y30*Inflation!$D$3</f>
        <v>1823.713421698995</v>
      </c>
    </row>
    <row r="31" spans="1:27">
      <c r="I31" s="95"/>
      <c r="J31" s="95"/>
      <c r="K31" s="95"/>
      <c r="L31" s="95"/>
      <c r="M31" s="95"/>
      <c r="N31" s="95"/>
      <c r="O31" s="95"/>
      <c r="P31" s="95"/>
      <c r="Q31" s="95"/>
      <c r="T31" s="1748"/>
      <c r="U31" s="1763">
        <v>20</v>
      </c>
      <c r="V31" s="58">
        <v>24000</v>
      </c>
      <c r="W31" s="58">
        <v>2</v>
      </c>
      <c r="X31" s="59">
        <f>(('Equipment Results Matrix'!$T$143+'Equipment Results Matrix'!$R$136*V31+'Equipment Results Matrix'!$R$137*U31+'Equipment Results Matrix'!$R$138)*1.2)</f>
        <v>5028.0866622539988</v>
      </c>
      <c r="Y31" s="59">
        <f t="shared" ref="Y31:Y36" si="13">X31/W31</f>
        <v>2514.0433311269994</v>
      </c>
      <c r="Z31" s="59">
        <f>X31*Inflation!$D$3</f>
        <v>5421.2506901466913</v>
      </c>
      <c r="AA31" s="59">
        <f>Y31*Inflation!$D$3</f>
        <v>2710.6253450733457</v>
      </c>
    </row>
    <row r="32" spans="1:27" ht="21">
      <c r="F32" s="184"/>
      <c r="N32" s="95"/>
      <c r="O32" s="95"/>
      <c r="P32" s="95"/>
      <c r="Q32" s="95"/>
      <c r="T32" s="1748"/>
      <c r="U32" s="1752"/>
      <c r="V32" s="58">
        <v>36000</v>
      </c>
      <c r="W32" s="58">
        <v>3</v>
      </c>
      <c r="X32" s="59">
        <f>('Equipment Results Matrix'!$T$143+'Equipment Results Matrix'!$R$136*V32+'Equipment Results Matrix'!$R$137*U31+'Equipment Results Matrix'!$R$138)*1.2</f>
        <v>5622.6482622539988</v>
      </c>
      <c r="Y32" s="59">
        <f t="shared" si="13"/>
        <v>1874.2160874179997</v>
      </c>
      <c r="Z32" s="59">
        <f>X32*Inflation!$D$3</f>
        <v>6062.3031820482111</v>
      </c>
      <c r="AA32" s="59">
        <f>Y32*Inflation!$D$3</f>
        <v>2020.7677273494039</v>
      </c>
    </row>
    <row r="33" spans="20:27">
      <c r="T33" s="1748"/>
      <c r="U33" s="1763">
        <v>21</v>
      </c>
      <c r="V33" s="58">
        <v>24000</v>
      </c>
      <c r="W33" s="58">
        <v>2</v>
      </c>
      <c r="X33" s="59">
        <f>(('Equipment Results Matrix'!$T$143+'Equipment Results Matrix'!$R$136*V33+'Equipment Results Matrix'!$R$137*U33+'Equipment Results Matrix'!$R$138)*1.2)</f>
        <v>5576.3768166540003</v>
      </c>
      <c r="Y33" s="59">
        <f t="shared" si="13"/>
        <v>2788.1884083270002</v>
      </c>
      <c r="Z33" s="59">
        <f>X33*Inflation!$D$3</f>
        <v>6012.4136070979212</v>
      </c>
      <c r="AA33" s="59">
        <f>Y33*Inflation!$D$3</f>
        <v>3006.2068035489606</v>
      </c>
    </row>
    <row r="34" spans="20:27" ht="18.75" customHeight="1">
      <c r="T34" s="1748"/>
      <c r="U34" s="1752"/>
      <c r="V34" s="58">
        <v>36000</v>
      </c>
      <c r="W34" s="58">
        <v>3</v>
      </c>
      <c r="X34" s="59">
        <f>('Equipment Results Matrix'!$T$143+'Equipment Results Matrix'!$R$136*V34+'Equipment Results Matrix'!$R$137*U33+'Equipment Results Matrix'!$R$138)*1.2</f>
        <v>6170.9384166540003</v>
      </c>
      <c r="Y34" s="59">
        <f t="shared" si="13"/>
        <v>2056.979472218</v>
      </c>
      <c r="Z34" s="59">
        <f>X34*Inflation!$D$3</f>
        <v>6653.4660989994409</v>
      </c>
      <c r="AA34" s="59">
        <f>Y34*Inflation!$D$3</f>
        <v>2217.8220329998135</v>
      </c>
    </row>
    <row r="35" spans="20:27" ht="15" customHeight="1">
      <c r="T35" s="1757" t="s">
        <v>22</v>
      </c>
      <c r="U35" s="1749">
        <v>15</v>
      </c>
      <c r="V35" s="58">
        <v>24000</v>
      </c>
      <c r="W35" s="58">
        <v>2</v>
      </c>
      <c r="X35" s="59">
        <f>(('Equipment Results Matrix'!$T$143+'Equipment Results Matrix'!$R$136*V35+'Equipment Results Matrix'!$R$137*U35+'Equipment Results Matrix'!$R$138)*1.2)</f>
        <v>2286.6358902539992</v>
      </c>
      <c r="Y35" s="59">
        <f t="shared" si="13"/>
        <v>1143.3179451269996</v>
      </c>
      <c r="Z35" s="59">
        <f>X35*Inflation!$D$3</f>
        <v>2465.4361053905536</v>
      </c>
      <c r="AA35" s="59">
        <f>Y35*Inflation!$D$3</f>
        <v>1232.7180526952768</v>
      </c>
    </row>
    <row r="36" spans="20:27">
      <c r="T36" s="1757"/>
      <c r="U36" s="1749"/>
      <c r="V36" s="58">
        <v>36000</v>
      </c>
      <c r="W36" s="58">
        <v>3</v>
      </c>
      <c r="X36" s="59">
        <f>('Equipment Results Matrix'!$T$143+'Equipment Results Matrix'!$R$136*V36+'Equipment Results Matrix'!$R$137*U35+'Equipment Results Matrix'!$R$138)*1.2</f>
        <v>2881.1974902539987</v>
      </c>
      <c r="Y36" s="59">
        <f t="shared" si="13"/>
        <v>960.3991634179996</v>
      </c>
      <c r="Z36" s="59">
        <f>X36*Inflation!$D$3</f>
        <v>3106.4885972920729</v>
      </c>
      <c r="AA36" s="59">
        <f>Y36*Inflation!$D$3</f>
        <v>1035.4961990973577</v>
      </c>
    </row>
  </sheetData>
  <mergeCells count="39">
    <mergeCell ref="U33:U34"/>
    <mergeCell ref="T23:T26"/>
    <mergeCell ref="U25:U26"/>
    <mergeCell ref="U27:U28"/>
    <mergeCell ref="A2:K2"/>
    <mergeCell ref="L2:M2"/>
    <mergeCell ref="L3:M3"/>
    <mergeCell ref="A5:A6"/>
    <mergeCell ref="C5:C10"/>
    <mergeCell ref="D5:D10"/>
    <mergeCell ref="G5:G10"/>
    <mergeCell ref="A7:A10"/>
    <mergeCell ref="C3:G3"/>
    <mergeCell ref="H3:I3"/>
    <mergeCell ref="A29:A30"/>
    <mergeCell ref="B29:B30"/>
    <mergeCell ref="T35:T36"/>
    <mergeCell ref="U35:U36"/>
    <mergeCell ref="A14:R14"/>
    <mergeCell ref="I15:R15"/>
    <mergeCell ref="U23:U24"/>
    <mergeCell ref="U29:U30"/>
    <mergeCell ref="B23:B24"/>
    <mergeCell ref="U14:AA14"/>
    <mergeCell ref="U31:U32"/>
    <mergeCell ref="T27:T34"/>
    <mergeCell ref="B25:B26"/>
    <mergeCell ref="B27:B28"/>
    <mergeCell ref="A15:D15"/>
    <mergeCell ref="E15:H15"/>
    <mergeCell ref="A17:A20"/>
    <mergeCell ref="B17:B18"/>
    <mergeCell ref="A21:A28"/>
    <mergeCell ref="B21:B22"/>
    <mergeCell ref="I17:I30"/>
    <mergeCell ref="U17:U18"/>
    <mergeCell ref="T20:AA20"/>
    <mergeCell ref="T21:AA21"/>
    <mergeCell ref="B19:B20"/>
  </mergeCells>
  <hyperlinks>
    <hyperlink ref="A12" location="'Master Summary'!A1" display="Return To Master Summary"/>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U53"/>
  <sheetViews>
    <sheetView zoomScale="40" zoomScaleNormal="40" workbookViewId="0">
      <selection activeCell="A12" sqref="A12"/>
    </sheetView>
  </sheetViews>
  <sheetFormatPr defaultRowHeight="14.4"/>
  <cols>
    <col min="1" max="1" width="20.6640625" customWidth="1"/>
    <col min="2" max="2" width="13.33203125" customWidth="1"/>
    <col min="3" max="3" width="23.33203125" customWidth="1"/>
    <col min="4" max="4" width="20.6640625" customWidth="1"/>
    <col min="5" max="5" width="24" customWidth="1"/>
    <col min="6" max="6" width="23.33203125" customWidth="1"/>
    <col min="7" max="7" width="18.6640625" customWidth="1"/>
    <col min="8" max="8" width="24.88671875" customWidth="1"/>
    <col min="9" max="9" width="32.109375" customWidth="1"/>
    <col min="10" max="10" width="27.33203125" customWidth="1"/>
    <col min="11" max="11" width="21" customWidth="1"/>
    <col min="12" max="12" width="26.109375" customWidth="1"/>
    <col min="13" max="13" width="22.88671875" customWidth="1"/>
    <col min="14" max="14" width="20.6640625" customWidth="1"/>
    <col min="15" max="15" width="16.109375" customWidth="1"/>
    <col min="16" max="16" width="20.44140625" customWidth="1"/>
    <col min="17" max="17" width="21.88671875" customWidth="1"/>
    <col min="18" max="18" width="17.5546875" customWidth="1"/>
    <col min="19" max="19" width="19.5546875" customWidth="1"/>
    <col min="20" max="20" width="22.5546875" customWidth="1"/>
    <col min="21" max="21" width="25.44140625" customWidth="1"/>
  </cols>
  <sheetData>
    <row r="1" spans="1:21" s="95" customFormat="1" ht="15" thickBot="1"/>
    <row r="2" spans="1:21" s="95" customFormat="1" ht="18.600000000000001" thickBot="1">
      <c r="A2" s="1764" t="s">
        <v>643</v>
      </c>
      <c r="B2" s="1765"/>
      <c r="C2" s="1786"/>
      <c r="D2" s="1786"/>
      <c r="E2" s="1786"/>
      <c r="F2" s="1786"/>
      <c r="G2" s="1786"/>
      <c r="H2" s="1786"/>
      <c r="I2" s="1786"/>
      <c r="J2" s="1786"/>
      <c r="K2" s="1786"/>
      <c r="L2" s="1786"/>
      <c r="M2" s="1786"/>
      <c r="N2" s="1786"/>
      <c r="O2" s="1786"/>
      <c r="P2" s="1786"/>
      <c r="Q2" s="1786"/>
      <c r="R2" s="1786"/>
      <c r="S2" s="1787"/>
      <c r="T2" s="1764" t="s">
        <v>648</v>
      </c>
      <c r="U2" s="1766"/>
    </row>
    <row r="3" spans="1:21" s="95" customFormat="1" ht="14.4" customHeight="1">
      <c r="A3" s="1791" t="s">
        <v>1900</v>
      </c>
      <c r="B3" s="1793" t="s">
        <v>205</v>
      </c>
      <c r="C3" s="1788" t="s">
        <v>674</v>
      </c>
      <c r="D3" s="1789"/>
      <c r="E3" s="1789"/>
      <c r="F3" s="1789"/>
      <c r="G3" s="1790"/>
      <c r="H3" s="1788" t="s">
        <v>184</v>
      </c>
      <c r="I3" s="1789"/>
      <c r="J3" s="1789"/>
      <c r="K3" s="1789"/>
      <c r="L3" s="1789"/>
      <c r="M3" s="1790"/>
      <c r="N3" s="1788" t="s">
        <v>303</v>
      </c>
      <c r="O3" s="1789"/>
      <c r="P3" s="1789"/>
      <c r="Q3" s="1789"/>
      <c r="R3" s="1789"/>
      <c r="S3" s="1790"/>
      <c r="T3" s="1767" t="s">
        <v>647</v>
      </c>
      <c r="U3" s="1768"/>
    </row>
    <row r="4" spans="1:21" s="95" customFormat="1" ht="82.95" customHeight="1">
      <c r="A4" s="1792"/>
      <c r="B4" s="1794"/>
      <c r="C4" s="247" t="s">
        <v>658</v>
      </c>
      <c r="D4" s="253" t="s">
        <v>659</v>
      </c>
      <c r="E4" s="253" t="s">
        <v>668</v>
      </c>
      <c r="F4" s="253" t="s">
        <v>667</v>
      </c>
      <c r="G4" s="246" t="s">
        <v>240</v>
      </c>
      <c r="H4" s="247" t="s">
        <v>669</v>
      </c>
      <c r="I4" s="253" t="s">
        <v>670</v>
      </c>
      <c r="J4" s="253" t="s">
        <v>671</v>
      </c>
      <c r="K4" s="259" t="s">
        <v>672</v>
      </c>
      <c r="L4" s="253" t="s">
        <v>673</v>
      </c>
      <c r="M4" s="260" t="s">
        <v>762</v>
      </c>
      <c r="N4" s="247" t="s">
        <v>669</v>
      </c>
      <c r="O4" s="253" t="s">
        <v>670</v>
      </c>
      <c r="P4" s="253" t="s">
        <v>671</v>
      </c>
      <c r="Q4" s="259" t="s">
        <v>672</v>
      </c>
      <c r="R4" s="253" t="s">
        <v>673</v>
      </c>
      <c r="S4" s="260" t="s">
        <v>762</v>
      </c>
      <c r="T4" s="247" t="s">
        <v>645</v>
      </c>
      <c r="U4" s="248" t="s">
        <v>1849</v>
      </c>
    </row>
    <row r="5" spans="1:21" s="95" customFormat="1">
      <c r="A5" s="1800" t="s">
        <v>401</v>
      </c>
      <c r="B5" s="265">
        <v>16</v>
      </c>
      <c r="C5" s="1801">
        <f>H36</f>
        <v>1665.734895629078</v>
      </c>
      <c r="D5" s="1803">
        <f>I36</f>
        <v>555.24496520969262</v>
      </c>
      <c r="E5" s="99">
        <f>R35</f>
        <v>2261.7179459229324</v>
      </c>
      <c r="F5" s="99">
        <f>S35</f>
        <v>753.90598197431075</v>
      </c>
      <c r="G5" s="1805">
        <f>K17</f>
        <v>586.03515774695711</v>
      </c>
      <c r="H5" s="235">
        <f>E5-$C$5</f>
        <v>595.98305029385438</v>
      </c>
      <c r="I5" s="231">
        <f>F5-$D$5</f>
        <v>198.66101676461813</v>
      </c>
      <c r="J5" s="99">
        <f t="shared" ref="J5:J10" si="0">H5+$C$41</f>
        <v>2447.8159653708735</v>
      </c>
      <c r="K5" s="212">
        <f>J5/3</f>
        <v>815.93865512362447</v>
      </c>
      <c r="L5" s="99">
        <f t="shared" ref="L5:L10" si="1">H5+$D$41+$E$41</f>
        <v>1129.0866974824635</v>
      </c>
      <c r="M5" s="261">
        <f>L5/3</f>
        <v>376.36223249415451</v>
      </c>
      <c r="N5" s="235">
        <f>S18</f>
        <v>1521.2620357798842</v>
      </c>
      <c r="O5" s="348">
        <f>N5/3</f>
        <v>507.08734525996141</v>
      </c>
      <c r="P5" s="99">
        <f t="shared" ref="P5:Q10" si="2">N5+$C$41</f>
        <v>3373.0949508569038</v>
      </c>
      <c r="Q5" s="99">
        <f t="shared" si="2"/>
        <v>2358.9202603369808</v>
      </c>
      <c r="R5" s="99">
        <f t="shared" ref="R5:S10" si="3">N5+$D$41+$E$41</f>
        <v>2054.3656829684933</v>
      </c>
      <c r="S5" s="261">
        <f t="shared" si="3"/>
        <v>1040.1909924485706</v>
      </c>
      <c r="T5" s="235">
        <v>184</v>
      </c>
      <c r="U5" s="236">
        <v>2495</v>
      </c>
    </row>
    <row r="6" spans="1:21" s="95" customFormat="1">
      <c r="A6" s="1800"/>
      <c r="B6" s="265">
        <v>17</v>
      </c>
      <c r="C6" s="1801"/>
      <c r="D6" s="1803"/>
      <c r="E6" s="99">
        <f>R37</f>
        <v>2559.7094710698589</v>
      </c>
      <c r="F6" s="99">
        <f>S37</f>
        <v>853.2364903566197</v>
      </c>
      <c r="G6" s="1806"/>
      <c r="H6" s="235">
        <f t="shared" ref="H6:H10" si="4">E6-$C$5</f>
        <v>893.97457544078088</v>
      </c>
      <c r="I6" s="231">
        <f t="shared" ref="I6:I10" si="5">F6-$D$5</f>
        <v>297.99152514692707</v>
      </c>
      <c r="J6" s="99">
        <f t="shared" si="0"/>
        <v>2745.8074905178</v>
      </c>
      <c r="K6" s="99">
        <f t="shared" ref="K6:M10" si="6">J6/3</f>
        <v>915.26916350593331</v>
      </c>
      <c r="L6" s="99">
        <f t="shared" si="1"/>
        <v>1427.07822262939</v>
      </c>
      <c r="M6" s="261">
        <f t="shared" si="6"/>
        <v>475.69274087646335</v>
      </c>
      <c r="N6" s="235">
        <f>S20</f>
        <v>1819.2535609268107</v>
      </c>
      <c r="O6" s="231">
        <f t="shared" ref="O6:O10" si="7">N6/3</f>
        <v>606.41785364227019</v>
      </c>
      <c r="P6" s="99">
        <f t="shared" si="2"/>
        <v>3671.0864760038303</v>
      </c>
      <c r="Q6" s="99">
        <f t="shared" si="2"/>
        <v>2458.2507687192897</v>
      </c>
      <c r="R6" s="99">
        <f t="shared" si="3"/>
        <v>2352.3572081154202</v>
      </c>
      <c r="S6" s="261">
        <f t="shared" si="3"/>
        <v>1139.5215008308794</v>
      </c>
      <c r="T6" s="235">
        <v>276</v>
      </c>
      <c r="U6" s="236">
        <v>2588</v>
      </c>
    </row>
    <row r="7" spans="1:21" s="95" customFormat="1">
      <c r="A7" s="1800" t="s">
        <v>402</v>
      </c>
      <c r="B7" s="265">
        <v>18</v>
      </c>
      <c r="C7" s="1801"/>
      <c r="D7" s="1803"/>
      <c r="E7" s="99">
        <f>R39</f>
        <v>2857.7009962167863</v>
      </c>
      <c r="F7" s="99">
        <f>S39</f>
        <v>952.56699873892887</v>
      </c>
      <c r="G7" s="1806"/>
      <c r="H7" s="235">
        <f t="shared" si="4"/>
        <v>1191.9661005877083</v>
      </c>
      <c r="I7" s="231">
        <f t="shared" si="5"/>
        <v>397.32203352923625</v>
      </c>
      <c r="J7" s="99">
        <f t="shared" si="0"/>
        <v>3043.7990156647274</v>
      </c>
      <c r="K7" s="99">
        <f t="shared" si="6"/>
        <v>1014.5996718882425</v>
      </c>
      <c r="L7" s="99">
        <f t="shared" si="1"/>
        <v>1725.0697477763174</v>
      </c>
      <c r="M7" s="261">
        <f t="shared" si="6"/>
        <v>575.02324925877247</v>
      </c>
      <c r="N7" s="235">
        <f>S22</f>
        <v>2117.2450860737381</v>
      </c>
      <c r="O7" s="231">
        <f t="shared" si="7"/>
        <v>705.74836202457936</v>
      </c>
      <c r="P7" s="99">
        <f t="shared" si="2"/>
        <v>3969.0780011507577</v>
      </c>
      <c r="Q7" s="99">
        <f t="shared" si="2"/>
        <v>2557.581277101599</v>
      </c>
      <c r="R7" s="99">
        <f t="shared" si="3"/>
        <v>2650.3487332623477</v>
      </c>
      <c r="S7" s="261">
        <f t="shared" si="3"/>
        <v>1238.8520092131885</v>
      </c>
      <c r="T7" s="235">
        <v>369</v>
      </c>
      <c r="U7" s="236">
        <v>2680</v>
      </c>
    </row>
    <row r="8" spans="1:21" s="95" customFormat="1">
      <c r="A8" s="1800"/>
      <c r="B8" s="265">
        <v>19</v>
      </c>
      <c r="C8" s="1801"/>
      <c r="D8" s="1803"/>
      <c r="E8" s="99">
        <f>R41</f>
        <v>3155.6925213637123</v>
      </c>
      <c r="F8" s="99">
        <f>S41</f>
        <v>1051.8975071212374</v>
      </c>
      <c r="G8" s="1806"/>
      <c r="H8" s="235">
        <f t="shared" si="4"/>
        <v>1489.9576257346343</v>
      </c>
      <c r="I8" s="231">
        <f t="shared" si="5"/>
        <v>496.65254191154474</v>
      </c>
      <c r="J8" s="99">
        <f t="shared" si="0"/>
        <v>3341.790540811654</v>
      </c>
      <c r="K8" s="99">
        <f t="shared" si="6"/>
        <v>1113.9301802705513</v>
      </c>
      <c r="L8" s="99">
        <f t="shared" si="1"/>
        <v>2023.0612729232435</v>
      </c>
      <c r="M8" s="261">
        <f t="shared" si="6"/>
        <v>674.35375764108119</v>
      </c>
      <c r="N8" s="235">
        <f>S24</f>
        <v>2415.2366112206641</v>
      </c>
      <c r="O8" s="231">
        <f t="shared" si="7"/>
        <v>805.07887040688809</v>
      </c>
      <c r="P8" s="99">
        <f t="shared" si="2"/>
        <v>4267.0695262976833</v>
      </c>
      <c r="Q8" s="99">
        <f t="shared" si="2"/>
        <v>2656.9117854839074</v>
      </c>
      <c r="R8" s="99">
        <f t="shared" si="3"/>
        <v>2948.3402584092737</v>
      </c>
      <c r="S8" s="261">
        <f t="shared" si="3"/>
        <v>1338.1825175954973</v>
      </c>
      <c r="T8" s="237">
        <v>461</v>
      </c>
      <c r="U8" s="238">
        <v>2772</v>
      </c>
    </row>
    <row r="9" spans="1:21" s="95" customFormat="1">
      <c r="A9" s="1800"/>
      <c r="B9" s="265">
        <v>20</v>
      </c>
      <c r="C9" s="1801"/>
      <c r="D9" s="1803"/>
      <c r="E9" s="99">
        <f>R43</f>
        <v>3453.6840465106397</v>
      </c>
      <c r="F9" s="99">
        <f>S43</f>
        <v>1151.2280155035464</v>
      </c>
      <c r="G9" s="1806"/>
      <c r="H9" s="235">
        <f t="shared" si="4"/>
        <v>1787.9491508815618</v>
      </c>
      <c r="I9" s="231">
        <f>F9-$D$5</f>
        <v>595.98305029385381</v>
      </c>
      <c r="J9" s="99">
        <f t="shared" si="0"/>
        <v>3639.7820659585814</v>
      </c>
      <c r="K9" s="99">
        <f t="shared" si="6"/>
        <v>1213.2606886528604</v>
      </c>
      <c r="L9" s="99">
        <f t="shared" si="1"/>
        <v>2321.0527980701713</v>
      </c>
      <c r="M9" s="261">
        <f t="shared" si="6"/>
        <v>773.68426602339048</v>
      </c>
      <c r="N9" s="235">
        <f>S26</f>
        <v>2713.2281363675916</v>
      </c>
      <c r="O9" s="231">
        <f t="shared" si="7"/>
        <v>904.40937878919715</v>
      </c>
      <c r="P9" s="99">
        <f t="shared" si="2"/>
        <v>4565.0610514446107</v>
      </c>
      <c r="Q9" s="99">
        <f t="shared" si="2"/>
        <v>2756.2422938662166</v>
      </c>
      <c r="R9" s="99">
        <f t="shared" si="3"/>
        <v>3246.3317835562011</v>
      </c>
      <c r="S9" s="261">
        <f t="shared" si="3"/>
        <v>1437.5130259778064</v>
      </c>
      <c r="T9" s="237">
        <v>553</v>
      </c>
      <c r="U9" s="238">
        <v>2864</v>
      </c>
    </row>
    <row r="10" spans="1:21" s="95" customFormat="1" ht="15" thickBot="1">
      <c r="A10" s="1808"/>
      <c r="B10" s="266">
        <v>21</v>
      </c>
      <c r="C10" s="1802"/>
      <c r="D10" s="1804"/>
      <c r="E10" s="262">
        <f>R45</f>
        <v>3751.6755716575672</v>
      </c>
      <c r="F10" s="262">
        <f>S45</f>
        <v>1250.5585238858555</v>
      </c>
      <c r="G10" s="1807"/>
      <c r="H10" s="264">
        <f t="shared" si="4"/>
        <v>2085.9406760284892</v>
      </c>
      <c r="I10" s="242">
        <f t="shared" si="5"/>
        <v>695.31355867616287</v>
      </c>
      <c r="J10" s="262">
        <f t="shared" si="0"/>
        <v>3937.7735911055088</v>
      </c>
      <c r="K10" s="262">
        <f t="shared" si="6"/>
        <v>1312.5911970351697</v>
      </c>
      <c r="L10" s="262">
        <f t="shared" si="1"/>
        <v>2619.0443232170987</v>
      </c>
      <c r="M10" s="263">
        <f t="shared" si="6"/>
        <v>873.01477440569954</v>
      </c>
      <c r="N10" s="264">
        <f>S28</f>
        <v>3011.219661514519</v>
      </c>
      <c r="O10" s="242">
        <f t="shared" si="7"/>
        <v>1003.7398871715063</v>
      </c>
      <c r="P10" s="262">
        <f t="shared" si="2"/>
        <v>4863.0525765915381</v>
      </c>
      <c r="Q10" s="262">
        <f t="shared" si="2"/>
        <v>2855.5728022485255</v>
      </c>
      <c r="R10" s="262">
        <f t="shared" si="3"/>
        <v>3544.3233087031285</v>
      </c>
      <c r="S10" s="263">
        <f t="shared" si="3"/>
        <v>1536.8435343601154</v>
      </c>
      <c r="T10" s="239">
        <v>645</v>
      </c>
      <c r="U10" s="240">
        <v>2956</v>
      </c>
    </row>
    <row r="11" spans="1:21" s="95" customFormat="1">
      <c r="A11" s="1510"/>
      <c r="B11" s="1511"/>
      <c r="C11" s="1512"/>
      <c r="D11" s="1512"/>
      <c r="E11" s="1513"/>
      <c r="F11" s="1513"/>
      <c r="G11" s="1512"/>
      <c r="H11" s="349"/>
      <c r="I11" s="349"/>
      <c r="J11" s="1513"/>
      <c r="K11" s="1513"/>
      <c r="L11" s="1513"/>
      <c r="M11" s="1513"/>
      <c r="N11" s="349"/>
      <c r="O11" s="349"/>
      <c r="P11" s="1513"/>
      <c r="Q11" s="1513"/>
      <c r="R11" s="1513"/>
      <c r="S11" s="1513"/>
      <c r="T11" s="1514"/>
      <c r="U11" s="1514"/>
    </row>
    <row r="12" spans="1:21" s="95" customFormat="1" ht="21">
      <c r="A12" s="184" t="s">
        <v>634</v>
      </c>
    </row>
    <row r="13" spans="1:21">
      <c r="A13" s="24"/>
      <c r="B13" s="24"/>
      <c r="C13" s="24"/>
      <c r="D13" s="95"/>
      <c r="E13" s="95"/>
      <c r="F13" s="95"/>
      <c r="G13" s="95"/>
      <c r="H13" s="95"/>
      <c r="I13" s="95"/>
      <c r="J13" s="95"/>
      <c r="K13" s="95"/>
      <c r="L13" s="95"/>
      <c r="M13" s="95"/>
      <c r="N13" s="95"/>
      <c r="O13" s="95"/>
      <c r="P13" s="95"/>
      <c r="Q13" s="95"/>
      <c r="R13" s="95"/>
      <c r="S13" s="95"/>
    </row>
    <row r="14" spans="1:21" ht="36.75" customHeight="1">
      <c r="A14" s="1795" t="s">
        <v>615</v>
      </c>
      <c r="B14" s="1795"/>
      <c r="C14" s="1795"/>
      <c r="D14" s="1795"/>
      <c r="E14" s="1795"/>
      <c r="F14" s="1795"/>
      <c r="G14" s="1795"/>
      <c r="H14" s="1795"/>
      <c r="I14" s="1795"/>
      <c r="J14" s="1795"/>
      <c r="K14" s="1795"/>
      <c r="L14" s="1795"/>
      <c r="M14" s="1795"/>
      <c r="N14" s="1795"/>
      <c r="O14" s="1795"/>
      <c r="P14" s="1795"/>
      <c r="Q14" s="1795"/>
      <c r="R14" s="1795"/>
      <c r="S14" s="1795"/>
      <c r="T14" s="1795"/>
      <c r="U14" s="1795"/>
    </row>
    <row r="15" spans="1:21" ht="28.5" customHeight="1">
      <c r="A15" s="1796" t="s">
        <v>626</v>
      </c>
      <c r="B15" s="1797"/>
      <c r="C15" s="1797"/>
      <c r="D15" s="1798"/>
      <c r="E15" s="1796" t="s">
        <v>644</v>
      </c>
      <c r="F15" s="1797"/>
      <c r="G15" s="1797"/>
      <c r="H15" s="1797"/>
      <c r="I15" s="1797"/>
      <c r="J15" s="1797"/>
      <c r="K15" s="1799" t="s">
        <v>620</v>
      </c>
      <c r="L15" s="1799"/>
      <c r="M15" s="1799"/>
      <c r="N15" s="1799"/>
      <c r="O15" s="1799"/>
      <c r="P15" s="1799"/>
      <c r="Q15" s="1799"/>
      <c r="R15" s="1799"/>
      <c r="S15" s="1799"/>
      <c r="T15" s="1799"/>
      <c r="U15" s="1799"/>
    </row>
    <row r="16" spans="1:21" ht="108">
      <c r="A16" s="191" t="s">
        <v>400</v>
      </c>
      <c r="B16" s="191" t="s">
        <v>205</v>
      </c>
      <c r="C16" s="191" t="s">
        <v>399</v>
      </c>
      <c r="D16" s="191" t="s">
        <v>206</v>
      </c>
      <c r="E16" s="191" t="s">
        <v>651</v>
      </c>
      <c r="F16" s="191" t="s">
        <v>650</v>
      </c>
      <c r="G16" s="191" t="s">
        <v>652</v>
      </c>
      <c r="H16" s="191" t="s">
        <v>653</v>
      </c>
      <c r="I16" s="191" t="s">
        <v>654</v>
      </c>
      <c r="J16" s="191" t="s">
        <v>649</v>
      </c>
      <c r="K16" s="188" t="s">
        <v>723</v>
      </c>
      <c r="L16" s="189" t="s">
        <v>621</v>
      </c>
      <c r="M16" s="216" t="s">
        <v>622</v>
      </c>
      <c r="N16" s="216" t="s">
        <v>261</v>
      </c>
      <c r="O16" s="258" t="s">
        <v>623</v>
      </c>
      <c r="P16" s="258" t="s">
        <v>624</v>
      </c>
      <c r="Q16" s="258" t="s">
        <v>629</v>
      </c>
      <c r="R16" s="258" t="s">
        <v>666</v>
      </c>
      <c r="S16" s="190" t="s">
        <v>665</v>
      </c>
      <c r="T16" s="216" t="s">
        <v>663</v>
      </c>
      <c r="U16" s="258" t="s">
        <v>664</v>
      </c>
    </row>
    <row r="17" spans="1:21" ht="30" customHeight="1">
      <c r="A17" s="1749" t="s">
        <v>401</v>
      </c>
      <c r="B17" s="1749">
        <v>16</v>
      </c>
      <c r="C17" s="58">
        <v>24000</v>
      </c>
      <c r="D17" s="58">
        <v>2</v>
      </c>
      <c r="E17" s="59">
        <f>P34-F$35</f>
        <v>552.76071840000031</v>
      </c>
      <c r="F17" s="59">
        <f>Q34-G$35</f>
        <v>276.38035920000016</v>
      </c>
      <c r="G17" s="59">
        <f>R34-$H$35</f>
        <v>595.98305029385438</v>
      </c>
      <c r="H17" s="59">
        <f>S34-I$35</f>
        <v>297.99152514692719</v>
      </c>
      <c r="I17" s="59">
        <f t="shared" ref="I17:I28" si="8">G17+$C$41</f>
        <v>2447.8159653708735</v>
      </c>
      <c r="J17" s="59">
        <f t="shared" ref="J17:J28" si="9">G17+$D$41+$E$41</f>
        <v>1129.0866974824635</v>
      </c>
      <c r="K17" s="1750">
        <f>'Labor Results Matrix'!$L$40*'Labor Adjustment'!$B$4*Inflation!$D$3</f>
        <v>586.03515774695711</v>
      </c>
      <c r="L17" s="183">
        <v>0.05</v>
      </c>
      <c r="M17" s="97">
        <v>18</v>
      </c>
      <c r="N17" s="97">
        <v>6</v>
      </c>
      <c r="O17" s="3">
        <f>((1+$L17)^N17-1)/($L17*(1+$L17)^N17)</f>
        <v>5.0756920672674468</v>
      </c>
      <c r="P17" s="3">
        <f>((1+$L17)^M17-1)/($L17*(1+$L17)^M17)</f>
        <v>11.689586902650337</v>
      </c>
      <c r="Q17" s="3">
        <f>O17/P17</f>
        <v>0.43420628201298145</v>
      </c>
      <c r="R17" s="3">
        <f>($K$17+$F$35)*Q17</f>
        <v>781.46361231286937</v>
      </c>
      <c r="S17" s="9">
        <f>R17+G17</f>
        <v>1377.4466626067237</v>
      </c>
      <c r="T17" s="9">
        <f t="shared" ref="T17:T30" si="10">S17+$C$41</f>
        <v>3229.2795776837429</v>
      </c>
      <c r="U17" s="3">
        <f t="shared" ref="U17:U30" si="11">S17+$D$41+$E$41</f>
        <v>1910.5503097953329</v>
      </c>
    </row>
    <row r="18" spans="1:21" ht="60" customHeight="1">
      <c r="A18" s="1749"/>
      <c r="B18" s="1749"/>
      <c r="C18" s="58">
        <v>36000</v>
      </c>
      <c r="D18" s="58">
        <v>3</v>
      </c>
      <c r="E18" s="59">
        <f>P35-F$36</f>
        <v>552.76071840000031</v>
      </c>
      <c r="F18" s="59">
        <f>Q35-G$36</f>
        <v>184.25357280000014</v>
      </c>
      <c r="G18" s="59">
        <f>R35-$H$36</f>
        <v>595.98305029385438</v>
      </c>
      <c r="H18" s="59">
        <f>S35-I$36</f>
        <v>198.66101676461813</v>
      </c>
      <c r="I18" s="59">
        <f t="shared" si="8"/>
        <v>2447.8159653708735</v>
      </c>
      <c r="J18" s="59">
        <f t="shared" si="9"/>
        <v>1129.0866974824635</v>
      </c>
      <c r="K18" s="1750"/>
      <c r="L18" s="183">
        <v>0.05</v>
      </c>
      <c r="M18" s="97">
        <v>18</v>
      </c>
      <c r="N18" s="97">
        <v>6</v>
      </c>
      <c r="O18" s="3">
        <f t="shared" ref="O18:O28" si="12">((1+$L18)^N18-1)/($L18*(1+$L18)^N18)</f>
        <v>5.0756920672674468</v>
      </c>
      <c r="P18" s="3">
        <f t="shared" ref="P18:P28" si="13">((1+$L18)^M18-1)/($L18*(1+$L18)^M18)</f>
        <v>11.689586902650337</v>
      </c>
      <c r="Q18" s="3">
        <f t="shared" ref="Q18:Q28" si="14">O18/P18</f>
        <v>0.43420628201298145</v>
      </c>
      <c r="R18" s="3">
        <f>($K$17+$F$36)*Q18</f>
        <v>925.2789854860298</v>
      </c>
      <c r="S18" s="9">
        <f>R18+G18</f>
        <v>1521.2620357798842</v>
      </c>
      <c r="T18" s="9">
        <f t="shared" si="10"/>
        <v>3373.0949508569038</v>
      </c>
      <c r="U18" s="3">
        <f t="shared" si="11"/>
        <v>2054.3656829684933</v>
      </c>
    </row>
    <row r="19" spans="1:21" ht="75" customHeight="1">
      <c r="A19" s="1749"/>
      <c r="B19" s="1749">
        <v>17</v>
      </c>
      <c r="C19" s="58">
        <v>24000</v>
      </c>
      <c r="D19" s="58">
        <v>2</v>
      </c>
      <c r="E19" s="59">
        <f>P36-F$35</f>
        <v>829.14107760000024</v>
      </c>
      <c r="F19" s="59">
        <f>Q36-G$35</f>
        <v>414.57053880000012</v>
      </c>
      <c r="G19" s="59">
        <f>R36-$H$35</f>
        <v>893.97457544078111</v>
      </c>
      <c r="H19" s="59">
        <f>S36-I$35</f>
        <v>446.98728772039055</v>
      </c>
      <c r="I19" s="59">
        <f t="shared" si="8"/>
        <v>2745.8074905178005</v>
      </c>
      <c r="J19" s="59">
        <f t="shared" si="9"/>
        <v>1427.0782226293902</v>
      </c>
      <c r="K19" s="1750"/>
      <c r="L19" s="183">
        <v>0.05</v>
      </c>
      <c r="M19" s="97">
        <v>18</v>
      </c>
      <c r="N19" s="97">
        <v>6</v>
      </c>
      <c r="O19" s="3">
        <f t="shared" si="12"/>
        <v>5.0756920672674468</v>
      </c>
      <c r="P19" s="3">
        <f t="shared" si="13"/>
        <v>11.689586902650337</v>
      </c>
      <c r="Q19" s="3">
        <f t="shared" si="14"/>
        <v>0.43420628201298145</v>
      </c>
      <c r="R19" s="3">
        <f>($K$17+$F$35)*Q19</f>
        <v>781.46361231286937</v>
      </c>
      <c r="S19" s="9">
        <f t="shared" ref="S19:S28" si="15">R19+G19</f>
        <v>1675.4381877536505</v>
      </c>
      <c r="T19" s="9">
        <f t="shared" si="10"/>
        <v>3527.2711028306699</v>
      </c>
      <c r="U19" s="3">
        <f t="shared" si="11"/>
        <v>2208.5418349422598</v>
      </c>
    </row>
    <row r="20" spans="1:21" ht="60" customHeight="1">
      <c r="A20" s="1749"/>
      <c r="B20" s="1749"/>
      <c r="C20" s="58">
        <v>36000</v>
      </c>
      <c r="D20" s="58">
        <v>3</v>
      </c>
      <c r="E20" s="59">
        <f>P37-F$36</f>
        <v>829.14107760000024</v>
      </c>
      <c r="F20" s="59">
        <f>Q37-G$36</f>
        <v>276.38035920000016</v>
      </c>
      <c r="G20" s="59">
        <f>R37-$H$36</f>
        <v>893.97457544078088</v>
      </c>
      <c r="H20" s="59">
        <f>S37-I$36</f>
        <v>297.99152514692707</v>
      </c>
      <c r="I20" s="59">
        <f t="shared" si="8"/>
        <v>2745.8074905178</v>
      </c>
      <c r="J20" s="59">
        <f t="shared" si="9"/>
        <v>1427.07822262939</v>
      </c>
      <c r="K20" s="1750"/>
      <c r="L20" s="183">
        <v>0.05</v>
      </c>
      <c r="M20" s="97">
        <v>18</v>
      </c>
      <c r="N20" s="97">
        <v>6</v>
      </c>
      <c r="O20" s="3">
        <f t="shared" si="12"/>
        <v>5.0756920672674468</v>
      </c>
      <c r="P20" s="3">
        <f t="shared" si="13"/>
        <v>11.689586902650337</v>
      </c>
      <c r="Q20" s="3">
        <f t="shared" si="14"/>
        <v>0.43420628201298145</v>
      </c>
      <c r="R20" s="3">
        <f>($K$17+$F$36)*Q20</f>
        <v>925.2789854860298</v>
      </c>
      <c r="S20" s="9">
        <f t="shared" si="15"/>
        <v>1819.2535609268107</v>
      </c>
      <c r="T20" s="9">
        <f t="shared" si="10"/>
        <v>3671.0864760038303</v>
      </c>
      <c r="U20" s="3">
        <f t="shared" si="11"/>
        <v>2352.3572081154202</v>
      </c>
    </row>
    <row r="21" spans="1:21" ht="45" customHeight="1">
      <c r="A21" s="1748" t="s">
        <v>402</v>
      </c>
      <c r="B21" s="1749">
        <v>18</v>
      </c>
      <c r="C21" s="58">
        <v>24000</v>
      </c>
      <c r="D21" s="58">
        <v>2</v>
      </c>
      <c r="E21" s="59">
        <f>P38-F$35</f>
        <v>1105.5214368000006</v>
      </c>
      <c r="F21" s="59">
        <f>Q38-G$35</f>
        <v>552.76071840000031</v>
      </c>
      <c r="G21" s="59">
        <f>R38-$H$35</f>
        <v>1191.9661005877085</v>
      </c>
      <c r="H21" s="59">
        <f>S38-I$35</f>
        <v>595.98305029385426</v>
      </c>
      <c r="I21" s="59">
        <f t="shared" si="8"/>
        <v>3043.7990156647279</v>
      </c>
      <c r="J21" s="59">
        <f t="shared" si="9"/>
        <v>1725.0697477763176</v>
      </c>
      <c r="K21" s="1750"/>
      <c r="L21" s="183">
        <v>0.05</v>
      </c>
      <c r="M21" s="97">
        <v>18</v>
      </c>
      <c r="N21" s="97">
        <v>6</v>
      </c>
      <c r="O21" s="3">
        <f t="shared" si="12"/>
        <v>5.0756920672674468</v>
      </c>
      <c r="P21" s="3">
        <f t="shared" si="13"/>
        <v>11.689586902650337</v>
      </c>
      <c r="Q21" s="3">
        <f t="shared" si="14"/>
        <v>0.43420628201298145</v>
      </c>
      <c r="R21" s="3">
        <f>($K$17+$F$35)*Q21</f>
        <v>781.46361231286937</v>
      </c>
      <c r="S21" s="9">
        <f t="shared" si="15"/>
        <v>1973.4297129005779</v>
      </c>
      <c r="T21" s="9">
        <f t="shared" si="10"/>
        <v>3825.2626279775973</v>
      </c>
      <c r="U21" s="3">
        <f t="shared" si="11"/>
        <v>2506.5333600891872</v>
      </c>
    </row>
    <row r="22" spans="1:21">
      <c r="A22" s="1748"/>
      <c r="B22" s="1749"/>
      <c r="C22" s="58">
        <v>36000</v>
      </c>
      <c r="D22" s="58">
        <v>3</v>
      </c>
      <c r="E22" s="59">
        <f>P39-F$36</f>
        <v>1105.5214368000006</v>
      </c>
      <c r="F22" s="59">
        <f>Q39-G$36</f>
        <v>368.50714560000029</v>
      </c>
      <c r="G22" s="59">
        <f>R39-$H$36</f>
        <v>1191.9661005877083</v>
      </c>
      <c r="H22" s="59">
        <f>S39-I$36</f>
        <v>397.32203352923625</v>
      </c>
      <c r="I22" s="59">
        <f t="shared" si="8"/>
        <v>3043.7990156647274</v>
      </c>
      <c r="J22" s="59">
        <f t="shared" si="9"/>
        <v>1725.0697477763174</v>
      </c>
      <c r="K22" s="1750"/>
      <c r="L22" s="183">
        <v>0.05</v>
      </c>
      <c r="M22" s="97">
        <v>18</v>
      </c>
      <c r="N22" s="97">
        <v>6</v>
      </c>
      <c r="O22" s="3">
        <f t="shared" si="12"/>
        <v>5.0756920672674468</v>
      </c>
      <c r="P22" s="3">
        <f t="shared" si="13"/>
        <v>11.689586902650337</v>
      </c>
      <c r="Q22" s="3">
        <f t="shared" si="14"/>
        <v>0.43420628201298145</v>
      </c>
      <c r="R22" s="3">
        <f>($K$17+$F$36)*Q22</f>
        <v>925.2789854860298</v>
      </c>
      <c r="S22" s="9">
        <f t="shared" si="15"/>
        <v>2117.2450860737381</v>
      </c>
      <c r="T22" s="9">
        <f t="shared" si="10"/>
        <v>3969.0780011507577</v>
      </c>
      <c r="U22" s="3">
        <f t="shared" si="11"/>
        <v>2650.3487332623477</v>
      </c>
    </row>
    <row r="23" spans="1:21" ht="45" customHeight="1">
      <c r="A23" s="1748"/>
      <c r="B23" s="1749">
        <v>19</v>
      </c>
      <c r="C23" s="58">
        <v>24000</v>
      </c>
      <c r="D23" s="58">
        <v>2</v>
      </c>
      <c r="E23" s="59">
        <f>P40-F$35</f>
        <v>1381.9017959999996</v>
      </c>
      <c r="F23" s="59">
        <f>Q40-G$35</f>
        <v>690.95089799999982</v>
      </c>
      <c r="G23" s="59">
        <f>R40-$H$35</f>
        <v>1489.9576257346346</v>
      </c>
      <c r="H23" s="59">
        <f>S40-I$35</f>
        <v>744.97881286731729</v>
      </c>
      <c r="I23" s="59">
        <f t="shared" si="8"/>
        <v>3341.790540811654</v>
      </c>
      <c r="J23" s="59">
        <f t="shared" si="9"/>
        <v>2023.0612729232437</v>
      </c>
      <c r="K23" s="1750"/>
      <c r="L23" s="183">
        <v>0.05</v>
      </c>
      <c r="M23" s="97">
        <v>18</v>
      </c>
      <c r="N23" s="97">
        <v>6</v>
      </c>
      <c r="O23" s="3">
        <f t="shared" si="12"/>
        <v>5.0756920672674468</v>
      </c>
      <c r="P23" s="3">
        <f t="shared" si="13"/>
        <v>11.689586902650337</v>
      </c>
      <c r="Q23" s="3">
        <f t="shared" si="14"/>
        <v>0.43420628201298145</v>
      </c>
      <c r="R23" s="3">
        <f>($K$17+$F$35)*Q23</f>
        <v>781.46361231286937</v>
      </c>
      <c r="S23" s="9">
        <f t="shared" si="15"/>
        <v>2271.4212380475037</v>
      </c>
      <c r="T23" s="9">
        <f t="shared" si="10"/>
        <v>4123.2541531245233</v>
      </c>
      <c r="U23" s="3">
        <f t="shared" si="11"/>
        <v>2804.5248852361133</v>
      </c>
    </row>
    <row r="24" spans="1:21" ht="45" customHeight="1">
      <c r="A24" s="1748"/>
      <c r="B24" s="1749"/>
      <c r="C24" s="58">
        <v>36000</v>
      </c>
      <c r="D24" s="58">
        <v>3</v>
      </c>
      <c r="E24" s="59">
        <f>P41-F$36</f>
        <v>1381.9017959999996</v>
      </c>
      <c r="F24" s="59">
        <f>Q41-G$36</f>
        <v>460.63393199999996</v>
      </c>
      <c r="G24" s="59">
        <f>R41-$H$36</f>
        <v>1489.9576257346343</v>
      </c>
      <c r="H24" s="59">
        <f>S41-I$36</f>
        <v>496.65254191154474</v>
      </c>
      <c r="I24" s="59">
        <f t="shared" si="8"/>
        <v>3341.790540811654</v>
      </c>
      <c r="J24" s="59">
        <f t="shared" si="9"/>
        <v>2023.0612729232435</v>
      </c>
      <c r="K24" s="1750"/>
      <c r="L24" s="183">
        <v>0.05</v>
      </c>
      <c r="M24" s="97">
        <v>18</v>
      </c>
      <c r="N24" s="97">
        <v>6</v>
      </c>
      <c r="O24" s="3">
        <f t="shared" si="12"/>
        <v>5.0756920672674468</v>
      </c>
      <c r="P24" s="3">
        <f t="shared" si="13"/>
        <v>11.689586902650337</v>
      </c>
      <c r="Q24" s="3">
        <f t="shared" si="14"/>
        <v>0.43420628201298145</v>
      </c>
      <c r="R24" s="3">
        <f>($K$17+$F$36)*Q24</f>
        <v>925.2789854860298</v>
      </c>
      <c r="S24" s="9">
        <f t="shared" si="15"/>
        <v>2415.2366112206641</v>
      </c>
      <c r="T24" s="9">
        <f t="shared" si="10"/>
        <v>4267.0695262976833</v>
      </c>
      <c r="U24" s="3">
        <f t="shared" si="11"/>
        <v>2948.3402584092737</v>
      </c>
    </row>
    <row r="25" spans="1:21" ht="60" customHeight="1">
      <c r="A25" s="1748"/>
      <c r="B25" s="1749">
        <v>20</v>
      </c>
      <c r="C25" s="58">
        <v>24000</v>
      </c>
      <c r="D25" s="58">
        <v>2</v>
      </c>
      <c r="E25" s="59">
        <f>P42-F$35</f>
        <v>1658.2821552</v>
      </c>
      <c r="F25" s="59">
        <f>Q42-G$35</f>
        <v>829.14107760000002</v>
      </c>
      <c r="G25" s="59">
        <f>R42-$H$35</f>
        <v>1787.949150881562</v>
      </c>
      <c r="H25" s="59">
        <f>S42-I$35</f>
        <v>893.974575440781</v>
      </c>
      <c r="I25" s="59">
        <f t="shared" si="8"/>
        <v>3639.7820659585814</v>
      </c>
      <c r="J25" s="59">
        <f t="shared" si="9"/>
        <v>2321.0527980701713</v>
      </c>
      <c r="K25" s="1750"/>
      <c r="L25" s="183">
        <v>0.05</v>
      </c>
      <c r="M25" s="97">
        <v>18</v>
      </c>
      <c r="N25" s="97">
        <v>6</v>
      </c>
      <c r="O25" s="3">
        <f t="shared" si="12"/>
        <v>5.0756920672674468</v>
      </c>
      <c r="P25" s="3">
        <f t="shared" si="13"/>
        <v>11.689586902650337</v>
      </c>
      <c r="Q25" s="3">
        <f t="shared" si="14"/>
        <v>0.43420628201298145</v>
      </c>
      <c r="R25" s="3">
        <f>($K$17+$F$35)*Q25</f>
        <v>781.46361231286937</v>
      </c>
      <c r="S25" s="9">
        <f t="shared" si="15"/>
        <v>2569.4127631944311</v>
      </c>
      <c r="T25" s="9">
        <f t="shared" si="10"/>
        <v>4421.2456782714507</v>
      </c>
      <c r="U25" s="3">
        <f t="shared" si="11"/>
        <v>3102.5164103830407</v>
      </c>
    </row>
    <row r="26" spans="1:21" ht="60" customHeight="1">
      <c r="A26" s="1748"/>
      <c r="B26" s="1749"/>
      <c r="C26" s="58">
        <v>36000</v>
      </c>
      <c r="D26" s="58">
        <v>3</v>
      </c>
      <c r="E26" s="59">
        <f>P43-F$36</f>
        <v>1658.2821552</v>
      </c>
      <c r="F26" s="59">
        <f>Q43-G$36</f>
        <v>552.76071839999997</v>
      </c>
      <c r="G26" s="59">
        <f>R43-$H$36</f>
        <v>1787.9491508815618</v>
      </c>
      <c r="H26" s="59">
        <f>S43-I$36</f>
        <v>595.98305029385381</v>
      </c>
      <c r="I26" s="59">
        <f t="shared" si="8"/>
        <v>3639.7820659585814</v>
      </c>
      <c r="J26" s="59">
        <f t="shared" si="9"/>
        <v>2321.0527980701713</v>
      </c>
      <c r="K26" s="1750"/>
      <c r="L26" s="183">
        <v>0.05</v>
      </c>
      <c r="M26" s="97">
        <v>18</v>
      </c>
      <c r="N26" s="97">
        <v>6</v>
      </c>
      <c r="O26" s="3">
        <f t="shared" si="12"/>
        <v>5.0756920672674468</v>
      </c>
      <c r="P26" s="3">
        <f t="shared" si="13"/>
        <v>11.689586902650337</v>
      </c>
      <c r="Q26" s="3">
        <f t="shared" si="14"/>
        <v>0.43420628201298145</v>
      </c>
      <c r="R26" s="3">
        <f>($K$17+$F$36)*Q26</f>
        <v>925.2789854860298</v>
      </c>
      <c r="S26" s="9">
        <f t="shared" si="15"/>
        <v>2713.2281363675916</v>
      </c>
      <c r="T26" s="9">
        <f t="shared" si="10"/>
        <v>4565.0610514446107</v>
      </c>
      <c r="U26" s="3">
        <f t="shared" si="11"/>
        <v>3246.3317835562011</v>
      </c>
    </row>
    <row r="27" spans="1:21" ht="45.75" customHeight="1">
      <c r="A27" s="1748"/>
      <c r="B27" s="1749">
        <v>21</v>
      </c>
      <c r="C27" s="58">
        <v>24000</v>
      </c>
      <c r="D27" s="58">
        <v>2</v>
      </c>
      <c r="E27" s="59">
        <f>P44-F$35</f>
        <v>1934.6625144000004</v>
      </c>
      <c r="F27" s="59">
        <f>Q44-G$35</f>
        <v>967.33125720000021</v>
      </c>
      <c r="G27" s="59">
        <f>R44-$H$35</f>
        <v>2085.9406760284892</v>
      </c>
      <c r="H27" s="59">
        <f>S44-I$35</f>
        <v>1042.9703380142446</v>
      </c>
      <c r="I27" s="59">
        <f t="shared" si="8"/>
        <v>3937.7735911055088</v>
      </c>
      <c r="J27" s="59">
        <f t="shared" si="9"/>
        <v>2619.0443232170987</v>
      </c>
      <c r="K27" s="1750"/>
      <c r="L27" s="183">
        <v>0.05</v>
      </c>
      <c r="M27" s="97">
        <v>18</v>
      </c>
      <c r="N27" s="97">
        <v>6</v>
      </c>
      <c r="O27" s="3">
        <f t="shared" si="12"/>
        <v>5.0756920672674468</v>
      </c>
      <c r="P27" s="3">
        <f t="shared" si="13"/>
        <v>11.689586902650337</v>
      </c>
      <c r="Q27" s="3">
        <f t="shared" si="14"/>
        <v>0.43420628201298145</v>
      </c>
      <c r="R27" s="3">
        <f>($K$17+$F$35)*Q27</f>
        <v>781.46361231286937</v>
      </c>
      <c r="S27" s="9">
        <f t="shared" si="15"/>
        <v>2867.4042883413586</v>
      </c>
      <c r="T27" s="9">
        <f t="shared" si="10"/>
        <v>4719.2372034183782</v>
      </c>
      <c r="U27" s="3">
        <f t="shared" si="11"/>
        <v>3400.5079355299681</v>
      </c>
    </row>
    <row r="28" spans="1:21" ht="30.75" customHeight="1">
      <c r="A28" s="1748"/>
      <c r="B28" s="1749"/>
      <c r="C28" s="58">
        <v>36000</v>
      </c>
      <c r="D28" s="58">
        <v>3</v>
      </c>
      <c r="E28" s="59">
        <f>P45-F$36</f>
        <v>1934.6625144000004</v>
      </c>
      <c r="F28" s="59">
        <f>Q45-G$36</f>
        <v>644.8875048000001</v>
      </c>
      <c r="G28" s="59">
        <f>R45-$H$36</f>
        <v>2085.9406760284892</v>
      </c>
      <c r="H28" s="59">
        <f>S45-I$36</f>
        <v>695.31355867616287</v>
      </c>
      <c r="I28" s="59">
        <f t="shared" si="8"/>
        <v>3937.7735911055088</v>
      </c>
      <c r="J28" s="59">
        <f t="shared" si="9"/>
        <v>2619.0443232170987</v>
      </c>
      <c r="K28" s="1750"/>
      <c r="L28" s="183">
        <v>0.05</v>
      </c>
      <c r="M28" s="97">
        <v>18</v>
      </c>
      <c r="N28" s="97">
        <v>6</v>
      </c>
      <c r="O28" s="3">
        <f t="shared" si="12"/>
        <v>5.0756920672674468</v>
      </c>
      <c r="P28" s="3">
        <f t="shared" si="13"/>
        <v>11.689586902650337</v>
      </c>
      <c r="Q28" s="3">
        <f t="shared" si="14"/>
        <v>0.43420628201298145</v>
      </c>
      <c r="R28" s="3">
        <f>($K$17+$F$36)*Q28</f>
        <v>925.2789854860298</v>
      </c>
      <c r="S28" s="9">
        <f t="shared" si="15"/>
        <v>3011.219661514519</v>
      </c>
      <c r="T28" s="9">
        <f t="shared" si="10"/>
        <v>4863.0525765915381</v>
      </c>
      <c r="U28" s="3">
        <f t="shared" si="11"/>
        <v>3544.3233087031285</v>
      </c>
    </row>
    <row r="29" spans="1:21" ht="18.75" customHeight="1">
      <c r="A29" s="1757" t="s">
        <v>22</v>
      </c>
      <c r="B29" s="1763">
        <v>15</v>
      </c>
      <c r="C29" s="58">
        <v>24000</v>
      </c>
      <c r="D29" s="58">
        <f>C29/12000</f>
        <v>2</v>
      </c>
      <c r="E29" s="59">
        <f>P46-F$35</f>
        <v>276.38035920000061</v>
      </c>
      <c r="F29" s="59">
        <f>Q46-G$35</f>
        <v>138.19017960000031</v>
      </c>
      <c r="G29" s="59">
        <f>R46-$H$35</f>
        <v>297.99152514692764</v>
      </c>
      <c r="H29" s="59">
        <f>S46-I$35</f>
        <v>148.99576257346382</v>
      </c>
      <c r="I29" s="59" t="s">
        <v>22</v>
      </c>
      <c r="J29" s="59" t="s">
        <v>22</v>
      </c>
      <c r="K29" s="1750"/>
      <c r="L29" s="183">
        <v>0.05</v>
      </c>
      <c r="M29" s="97">
        <v>18</v>
      </c>
      <c r="N29" s="97">
        <v>6</v>
      </c>
      <c r="O29" s="3">
        <f t="shared" ref="O29:O30" si="16">((1+$L29)^N29-1)/($L29*(1+$L29)^N29)</f>
        <v>5.0756920672674468</v>
      </c>
      <c r="P29" s="3">
        <f t="shared" ref="P29:P30" si="17">((1+$L29)^M29-1)/($L29*(1+$L29)^M29)</f>
        <v>11.689586902650337</v>
      </c>
      <c r="Q29" s="3">
        <f t="shared" ref="Q29:Q30" si="18">O29/P29</f>
        <v>0.43420628201298145</v>
      </c>
      <c r="R29" s="3">
        <f>($K$17+$F$35)*Q29</f>
        <v>781.46361231286937</v>
      </c>
      <c r="S29" s="9">
        <f t="shared" ref="S29:S30" si="19">R29+G29</f>
        <v>1079.455137459797</v>
      </c>
      <c r="T29" s="9">
        <f t="shared" si="10"/>
        <v>2931.2880525368164</v>
      </c>
      <c r="U29" s="3">
        <f t="shared" si="11"/>
        <v>1612.5587846484061</v>
      </c>
    </row>
    <row r="30" spans="1:21">
      <c r="A30" s="1757"/>
      <c r="B30" s="1752"/>
      <c r="C30" s="58">
        <v>36000</v>
      </c>
      <c r="D30" s="58">
        <f>C30/12000</f>
        <v>3</v>
      </c>
      <c r="E30" s="59">
        <f>P47-F$36</f>
        <v>276.38035920000038</v>
      </c>
      <c r="F30" s="59">
        <f>Q47-G$36</f>
        <v>92.126786400000128</v>
      </c>
      <c r="G30" s="59">
        <f>R47-$H$36</f>
        <v>297.99152514692719</v>
      </c>
      <c r="H30" s="59">
        <f>S47-I$36</f>
        <v>99.330508382309063</v>
      </c>
      <c r="I30" s="59" t="s">
        <v>22</v>
      </c>
      <c r="J30" s="59" t="s">
        <v>22</v>
      </c>
      <c r="K30" s="1750"/>
      <c r="L30" s="183">
        <v>0.05</v>
      </c>
      <c r="M30" s="97">
        <v>18</v>
      </c>
      <c r="N30" s="97">
        <v>6</v>
      </c>
      <c r="O30" s="3">
        <f t="shared" si="16"/>
        <v>5.0756920672674468</v>
      </c>
      <c r="P30" s="3">
        <f t="shared" si="17"/>
        <v>11.689586902650337</v>
      </c>
      <c r="Q30" s="3">
        <f t="shared" si="18"/>
        <v>0.43420628201298145</v>
      </c>
      <c r="R30" s="3">
        <f>($K$17+$F$36)*Q30</f>
        <v>925.2789854860298</v>
      </c>
      <c r="S30" s="9">
        <f t="shared" si="19"/>
        <v>1223.270510632957</v>
      </c>
      <c r="T30" s="9">
        <f t="shared" si="10"/>
        <v>3075.1034257099764</v>
      </c>
      <c r="U30" s="3">
        <f t="shared" si="11"/>
        <v>1756.3741578215661</v>
      </c>
    </row>
    <row r="32" spans="1:21" ht="14.4" customHeight="1">
      <c r="A32" s="380"/>
      <c r="L32" s="1779" t="s">
        <v>613</v>
      </c>
      <c r="M32" s="1780"/>
      <c r="N32" s="1780"/>
      <c r="O32" s="1780"/>
      <c r="P32" s="1780"/>
      <c r="Q32" s="1780"/>
      <c r="R32" s="1780"/>
      <c r="S32" s="1780"/>
    </row>
    <row r="33" spans="3:19" ht="28.8">
      <c r="C33" s="1779" t="s">
        <v>628</v>
      </c>
      <c r="D33" s="1780"/>
      <c r="E33" s="1780"/>
      <c r="F33" s="1780"/>
      <c r="G33" s="1780"/>
      <c r="H33" s="1780"/>
      <c r="I33" s="1785"/>
      <c r="L33" s="188" t="s">
        <v>400</v>
      </c>
      <c r="M33" s="188" t="s">
        <v>205</v>
      </c>
      <c r="N33" s="188" t="s">
        <v>399</v>
      </c>
      <c r="O33" s="188" t="s">
        <v>206</v>
      </c>
      <c r="P33" s="188" t="s">
        <v>610</v>
      </c>
      <c r="Q33" s="188" t="s">
        <v>611</v>
      </c>
      <c r="R33" s="188" t="s">
        <v>526</v>
      </c>
      <c r="S33" s="188" t="s">
        <v>612</v>
      </c>
    </row>
    <row r="34" spans="3:19">
      <c r="C34" s="188" t="s">
        <v>204</v>
      </c>
      <c r="D34" s="188" t="s">
        <v>662</v>
      </c>
      <c r="E34" s="188" t="s">
        <v>206</v>
      </c>
      <c r="F34" s="188" t="s">
        <v>104</v>
      </c>
      <c r="G34" s="188" t="s">
        <v>614</v>
      </c>
      <c r="H34" s="257" t="s">
        <v>221</v>
      </c>
      <c r="I34" s="188" t="s">
        <v>209</v>
      </c>
      <c r="L34" s="1781" t="s">
        <v>401</v>
      </c>
      <c r="M34" s="1781">
        <v>16</v>
      </c>
      <c r="N34" s="58">
        <v>24000</v>
      </c>
      <c r="O34" s="58">
        <v>2</v>
      </c>
      <c r="P34" s="267">
        <f>(('Equipment Results Matrix'!$T$162+'Equipment Results Matrix'!$R$155*N34+'Equipment Results Matrix'!$R$156*M34 + 'Equipment Results Matrix'!$R$157)*1.2)</f>
        <v>1766.4775326650602</v>
      </c>
      <c r="Q34" s="267">
        <f>P34/O34</f>
        <v>883.23876633253008</v>
      </c>
      <c r="R34" s="267">
        <f>P34*Inflation!$D$3</f>
        <v>1904.6047107700617</v>
      </c>
      <c r="S34" s="267">
        <f>Q34*Inflation!$D$3</f>
        <v>952.30235538503086</v>
      </c>
    </row>
    <row r="35" spans="3:19">
      <c r="C35" s="1763">
        <v>14</v>
      </c>
      <c r="D35" s="58">
        <v>24000</v>
      </c>
      <c r="E35" s="58">
        <f>D35/12000</f>
        <v>2</v>
      </c>
      <c r="F35" s="267">
        <f>(('Equipment Results Matrix'!$T$162+'Equipment Results Matrix'!$R$155*D35+'Equipment Results Matrix'!$R$156*C35 + 'Equipment Results Matrix'!$R$157)*1.2)</f>
        <v>1213.7168142650598</v>
      </c>
      <c r="G35" s="267">
        <f>F35/E35</f>
        <v>606.85840713252992</v>
      </c>
      <c r="H35" s="267">
        <f>F35*Inflation!$D$3</f>
        <v>1308.6216604762074</v>
      </c>
      <c r="I35" s="267">
        <f>G35*Inflation!$D$3</f>
        <v>654.31083023810368</v>
      </c>
      <c r="L35" s="1809"/>
      <c r="M35" s="1752"/>
      <c r="N35" s="58">
        <v>36000</v>
      </c>
      <c r="O35" s="58">
        <v>3</v>
      </c>
      <c r="P35" s="267">
        <f>(('Equipment Results Matrix'!$T$162+'Equipment Results Matrix'!$R$155*N35+'Equipment Results Matrix'!$R$156*M34 + 'Equipment Results Matrix'!$R$157)*1.2)</f>
        <v>2097.6919326650604</v>
      </c>
      <c r="Q35" s="267">
        <f t="shared" ref="Q35:Q41" si="20">P35/O35</f>
        <v>699.23064422168682</v>
      </c>
      <c r="R35" s="267">
        <f>P35*Inflation!$D$3</f>
        <v>2261.7179459229324</v>
      </c>
      <c r="S35" s="267">
        <f>Q35*Inflation!$D$3</f>
        <v>753.90598197431075</v>
      </c>
    </row>
    <row r="36" spans="3:19">
      <c r="C36" s="1752"/>
      <c r="D36" s="58">
        <v>36000</v>
      </c>
      <c r="E36" s="58">
        <f>D36/12000</f>
        <v>3</v>
      </c>
      <c r="F36" s="267">
        <f>(('Equipment Results Matrix'!$T$162+'Equipment Results Matrix'!$R$155*D36+'Equipment Results Matrix'!$R$156*C35 + 'Equipment Results Matrix'!$R$157)*1.2)</f>
        <v>1544.9312142650601</v>
      </c>
      <c r="G36" s="267">
        <f>F36/E36</f>
        <v>514.97707142168667</v>
      </c>
      <c r="H36" s="267">
        <f>F36*Inflation!$D$3</f>
        <v>1665.734895629078</v>
      </c>
      <c r="I36" s="267">
        <f>G36*Inflation!$D$3</f>
        <v>555.24496520969262</v>
      </c>
      <c r="L36" s="1809"/>
      <c r="M36" s="1781">
        <v>17</v>
      </c>
      <c r="N36" s="58">
        <v>24000</v>
      </c>
      <c r="O36" s="58">
        <v>2</v>
      </c>
      <c r="P36" s="267">
        <f>(('Equipment Results Matrix'!$T$162+'Equipment Results Matrix'!$R$155*N36+'Equipment Results Matrix'!$R$156*M36 + 'Equipment Results Matrix'!$R$157)*1.2)</f>
        <v>2042.8578918650601</v>
      </c>
      <c r="Q36" s="267">
        <f t="shared" si="20"/>
        <v>1021.42894593253</v>
      </c>
      <c r="R36" s="267">
        <f>P36*Inflation!$D$3</f>
        <v>2202.5962359169885</v>
      </c>
      <c r="S36" s="267">
        <f>Q36*Inflation!$D$3</f>
        <v>1101.2981179584942</v>
      </c>
    </row>
    <row r="37" spans="3:19">
      <c r="L37" s="1752"/>
      <c r="M37" s="1752"/>
      <c r="N37" s="58">
        <v>36000</v>
      </c>
      <c r="O37" s="58">
        <v>3</v>
      </c>
      <c r="P37" s="267">
        <f>(('Equipment Results Matrix'!$T$162+'Equipment Results Matrix'!$R$155*N37+'Equipment Results Matrix'!$R$156*M36 + 'Equipment Results Matrix'!$R$157)*1.2)</f>
        <v>2374.0722918650604</v>
      </c>
      <c r="Q37" s="267">
        <f t="shared" si="20"/>
        <v>791.35743062168683</v>
      </c>
      <c r="R37" s="267">
        <f>P37*Inflation!$D$3</f>
        <v>2559.7094710698589</v>
      </c>
      <c r="S37" s="267">
        <f>Q37*Inflation!$D$3</f>
        <v>853.2364903566197</v>
      </c>
    </row>
    <row r="38" spans="3:19">
      <c r="L38" s="1748" t="s">
        <v>402</v>
      </c>
      <c r="M38" s="1781">
        <v>18</v>
      </c>
      <c r="N38" s="58">
        <v>24000</v>
      </c>
      <c r="O38" s="58">
        <v>2</v>
      </c>
      <c r="P38" s="267">
        <f>(('Equipment Results Matrix'!$T$162+'Equipment Results Matrix'!$R$155*N38+'Equipment Results Matrix'!$R$156*M38 + 'Equipment Results Matrix'!$R$157)*1.2)</f>
        <v>2319.2382510650605</v>
      </c>
      <c r="Q38" s="267">
        <f t="shared" si="20"/>
        <v>1159.6191255325302</v>
      </c>
      <c r="R38" s="267">
        <f>P38*Inflation!$D$3</f>
        <v>2500.5877610639159</v>
      </c>
      <c r="S38" s="267">
        <f>Q38*Inflation!$D$3</f>
        <v>1250.2938805319579</v>
      </c>
    </row>
    <row r="39" spans="3:19">
      <c r="C39" s="1782" t="s">
        <v>616</v>
      </c>
      <c r="D39" s="1783"/>
      <c r="E39" s="1784"/>
      <c r="L39" s="1748"/>
      <c r="M39" s="1752"/>
      <c r="N39" s="58">
        <v>36000</v>
      </c>
      <c r="O39" s="58">
        <v>3</v>
      </c>
      <c r="P39" s="267">
        <f>(('Equipment Results Matrix'!$T$162+'Equipment Results Matrix'!$R$155*N39+'Equipment Results Matrix'!$R$156*M38 + 'Equipment Results Matrix'!$R$157)*1.2)</f>
        <v>2650.4526510650608</v>
      </c>
      <c r="Q39" s="267">
        <f t="shared" si="20"/>
        <v>883.48421702168696</v>
      </c>
      <c r="R39" s="267">
        <f>P39*Inflation!$D$3</f>
        <v>2857.7009962167863</v>
      </c>
      <c r="S39" s="267">
        <f>Q39*Inflation!$D$3</f>
        <v>952.56699873892887</v>
      </c>
    </row>
    <row r="40" spans="3:19" ht="57.6">
      <c r="C40" s="188" t="s">
        <v>1792</v>
      </c>
      <c r="D40" s="188" t="s">
        <v>725</v>
      </c>
      <c r="E40" s="188" t="s">
        <v>726</v>
      </c>
      <c r="L40" s="1748"/>
      <c r="M40" s="1781">
        <v>19</v>
      </c>
      <c r="N40" s="58">
        <v>24000</v>
      </c>
      <c r="O40" s="58">
        <v>2</v>
      </c>
      <c r="P40" s="267">
        <f>(('Equipment Results Matrix'!$T$162+'Equipment Results Matrix'!$R$155*N40+'Equipment Results Matrix'!$R$156*M40 + 'Equipment Results Matrix'!$R$157)*1.2)</f>
        <v>2595.6186102650595</v>
      </c>
      <c r="Q40" s="267">
        <f>P40/O40</f>
        <v>1297.8093051325297</v>
      </c>
      <c r="R40" s="267">
        <f>P40*Inflation!$D$3</f>
        <v>2798.5792862108419</v>
      </c>
      <c r="S40" s="267">
        <f>Q40*Inflation!$D$3</f>
        <v>1399.289643105421</v>
      </c>
    </row>
    <row r="41" spans="3:19">
      <c r="C41" s="329">
        <f>Res_CondensingFurnace_IMC!$G$11</f>
        <v>1851.8329150770194</v>
      </c>
      <c r="D41" s="268">
        <f>Efficient_Fan_Motor!$D$18</f>
        <v>379.97662883847062</v>
      </c>
      <c r="E41" s="268">
        <f>Efficient_Fan_Motor!$F$13</f>
        <v>153.1270183501386</v>
      </c>
      <c r="L41" s="1748"/>
      <c r="M41" s="1752"/>
      <c r="N41" s="58">
        <v>36000</v>
      </c>
      <c r="O41" s="58">
        <v>3</v>
      </c>
      <c r="P41" s="267">
        <f>(('Equipment Results Matrix'!$T$162+'Equipment Results Matrix'!$R$155*N41+'Equipment Results Matrix'!$R$156*M40 + 'Equipment Results Matrix'!$R$157)*1.2)</f>
        <v>2926.8330102650598</v>
      </c>
      <c r="Q41" s="267">
        <f t="shared" si="20"/>
        <v>975.61100342168663</v>
      </c>
      <c r="R41" s="267">
        <f>P41*Inflation!$D$3</f>
        <v>3155.6925213637123</v>
      </c>
      <c r="S41" s="267">
        <f>Q41*Inflation!$D$3</f>
        <v>1051.8975071212374</v>
      </c>
    </row>
    <row r="42" spans="3:19">
      <c r="L42" s="1748"/>
      <c r="M42" s="1781">
        <v>20</v>
      </c>
      <c r="N42" s="58">
        <v>24000</v>
      </c>
      <c r="O42" s="58">
        <v>2</v>
      </c>
      <c r="P42" s="267">
        <f>(('Equipment Results Matrix'!$T$162+'Equipment Results Matrix'!$R$155*N42+'Equipment Results Matrix'!$R$156*M42 + 'Equipment Results Matrix'!$R$157)*1.2)</f>
        <v>2871.9989694650599</v>
      </c>
      <c r="Q42" s="267">
        <f t="shared" ref="Q42:Q47" si="21">P42/O42</f>
        <v>1435.9994847325299</v>
      </c>
      <c r="R42" s="267">
        <f>P42*Inflation!$D$3</f>
        <v>3096.5708113577693</v>
      </c>
      <c r="S42" s="267">
        <f>Q42*Inflation!$D$3</f>
        <v>1548.2854056788847</v>
      </c>
    </row>
    <row r="43" spans="3:19">
      <c r="L43" s="1748"/>
      <c r="M43" s="1752"/>
      <c r="N43" s="58">
        <v>36000</v>
      </c>
      <c r="O43" s="58">
        <v>3</v>
      </c>
      <c r="P43" s="267">
        <f>(('Equipment Results Matrix'!$T$162+'Equipment Results Matrix'!$R$155*N43+'Equipment Results Matrix'!$R$156*M42 + 'Equipment Results Matrix'!$R$157)*1.2)</f>
        <v>3203.2133694650602</v>
      </c>
      <c r="Q43" s="267">
        <f t="shared" si="21"/>
        <v>1067.7377898216866</v>
      </c>
      <c r="R43" s="267">
        <f>P43*Inflation!$D$3</f>
        <v>3453.6840465106397</v>
      </c>
      <c r="S43" s="267">
        <f>Q43*Inflation!$D$3</f>
        <v>1151.2280155035464</v>
      </c>
    </row>
    <row r="44" spans="3:19">
      <c r="L44" s="1748"/>
      <c r="M44" s="1781">
        <v>21</v>
      </c>
      <c r="N44" s="58">
        <v>24000</v>
      </c>
      <c r="O44" s="58">
        <v>2</v>
      </c>
      <c r="P44" s="267">
        <f>(('Equipment Results Matrix'!$T$162+'Equipment Results Matrix'!$R$155*N44+'Equipment Results Matrix'!$R$156*M44 + 'Equipment Results Matrix'!$R$157)*1.2)</f>
        <v>3148.3793286650603</v>
      </c>
      <c r="Q44" s="267">
        <f t="shared" si="21"/>
        <v>1574.1896643325301</v>
      </c>
      <c r="R44" s="267">
        <f>P44*Inflation!$D$3</f>
        <v>3394.5623365046968</v>
      </c>
      <c r="S44" s="267">
        <f>Q44*Inflation!$D$3</f>
        <v>1697.2811682523484</v>
      </c>
    </row>
    <row r="45" spans="3:19" ht="18.75" customHeight="1">
      <c r="L45" s="1748"/>
      <c r="M45" s="1752"/>
      <c r="N45" s="58">
        <v>36000</v>
      </c>
      <c r="O45" s="58">
        <v>3</v>
      </c>
      <c r="P45" s="267">
        <f>(('Equipment Results Matrix'!$T$162+'Equipment Results Matrix'!$R$155*N45+'Equipment Results Matrix'!$R$156*M44 + 'Equipment Results Matrix'!$R$157)*1.2)</f>
        <v>3479.5937286650606</v>
      </c>
      <c r="Q45" s="267">
        <f t="shared" si="21"/>
        <v>1159.8645762216868</v>
      </c>
      <c r="R45" s="267">
        <f>P45*Inflation!$D$3</f>
        <v>3751.6755716575672</v>
      </c>
      <c r="S45" s="267">
        <f>Q45*Inflation!$D$3</f>
        <v>1250.5585238858555</v>
      </c>
    </row>
    <row r="46" spans="3:19" s="95" customFormat="1" ht="18.75" customHeight="1">
      <c r="L46" s="1757" t="s">
        <v>22</v>
      </c>
      <c r="M46" s="1763">
        <v>15</v>
      </c>
      <c r="N46" s="58">
        <v>24000</v>
      </c>
      <c r="O46" s="58">
        <f>N46/12000</f>
        <v>2</v>
      </c>
      <c r="P46" s="267">
        <f>(('Equipment Results Matrix'!$T$162+'Equipment Results Matrix'!$R$155*N46+'Equipment Results Matrix'!$R$156*M46 + 'Equipment Results Matrix'!$R$157)*1.2)</f>
        <v>1490.0971734650605</v>
      </c>
      <c r="Q46" s="267">
        <f t="shared" si="21"/>
        <v>745.04858673253023</v>
      </c>
      <c r="R46" s="267">
        <f>P46*Inflation!$D$3</f>
        <v>1606.613185623135</v>
      </c>
      <c r="S46" s="267">
        <f>Q46*Inflation!$D$3</f>
        <v>803.3065928115675</v>
      </c>
    </row>
    <row r="47" spans="3:19" ht="18.75" customHeight="1">
      <c r="L47" s="1757"/>
      <c r="M47" s="1752"/>
      <c r="N47" s="58">
        <v>36000</v>
      </c>
      <c r="O47" s="58">
        <f>N47/12000</f>
        <v>3</v>
      </c>
      <c r="P47" s="267">
        <f>(('Equipment Results Matrix'!$T$162+'Equipment Results Matrix'!$R$155*N47+'Equipment Results Matrix'!$R$156*M46 + 'Equipment Results Matrix'!$R$157)*1.2)</f>
        <v>1821.3115734650605</v>
      </c>
      <c r="Q47" s="267">
        <f t="shared" si="21"/>
        <v>607.1038578216868</v>
      </c>
      <c r="R47" s="267">
        <f>P47*Inflation!$D$3</f>
        <v>1963.7264207760052</v>
      </c>
      <c r="S47" s="267">
        <f>Q47*Inflation!$D$3</f>
        <v>654.57547359200169</v>
      </c>
    </row>
    <row r="48" spans="3:19" ht="15" customHeight="1"/>
    <row r="49" ht="35.25" customHeight="1"/>
    <row r="52" ht="15" customHeight="1"/>
    <row r="53" ht="15" customHeight="1"/>
  </sheetData>
  <mergeCells count="42">
    <mergeCell ref="M44:M45"/>
    <mergeCell ref="L34:L37"/>
    <mergeCell ref="M34:M35"/>
    <mergeCell ref="M36:M37"/>
    <mergeCell ref="L38:L45"/>
    <mergeCell ref="M38:M39"/>
    <mergeCell ref="A5:A6"/>
    <mergeCell ref="C5:C10"/>
    <mergeCell ref="D5:D10"/>
    <mergeCell ref="G5:G10"/>
    <mergeCell ref="A7:A10"/>
    <mergeCell ref="A14:U14"/>
    <mergeCell ref="A15:D15"/>
    <mergeCell ref="E15:J15"/>
    <mergeCell ref="A17:A20"/>
    <mergeCell ref="B17:B18"/>
    <mergeCell ref="B19:B20"/>
    <mergeCell ref="K15:U15"/>
    <mergeCell ref="A2:S2"/>
    <mergeCell ref="T2:U2"/>
    <mergeCell ref="T3:U3"/>
    <mergeCell ref="N3:S3"/>
    <mergeCell ref="H3:M3"/>
    <mergeCell ref="C3:G3"/>
    <mergeCell ref="A3:A4"/>
    <mergeCell ref="B3:B4"/>
    <mergeCell ref="M46:M47"/>
    <mergeCell ref="L46:L47"/>
    <mergeCell ref="A29:A30"/>
    <mergeCell ref="B29:B30"/>
    <mergeCell ref="K17:K30"/>
    <mergeCell ref="A21:A28"/>
    <mergeCell ref="L32:S32"/>
    <mergeCell ref="M40:M41"/>
    <mergeCell ref="C39:E39"/>
    <mergeCell ref="B21:B22"/>
    <mergeCell ref="B23:B24"/>
    <mergeCell ref="C33:I33"/>
    <mergeCell ref="C35:C36"/>
    <mergeCell ref="B25:B26"/>
    <mergeCell ref="B27:B28"/>
    <mergeCell ref="M42:M43"/>
  </mergeCells>
  <hyperlinks>
    <hyperlink ref="A12" location="'Master Summary'!A1" display="Return To Master Summary"/>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L38"/>
  <sheetViews>
    <sheetView zoomScale="85" zoomScaleNormal="85" workbookViewId="0">
      <selection activeCell="A2" sqref="A2:D7"/>
    </sheetView>
  </sheetViews>
  <sheetFormatPr defaultRowHeight="14.4"/>
  <cols>
    <col min="1" max="1" width="48.88671875" style="95" customWidth="1"/>
    <col min="2" max="2" width="23" customWidth="1"/>
    <col min="3" max="3" width="22.6640625" customWidth="1"/>
    <col min="4" max="4" width="28.33203125" customWidth="1"/>
    <col min="5" max="5" width="24.33203125" customWidth="1"/>
    <col min="6" max="6" width="25.5546875" customWidth="1"/>
    <col min="7" max="7" width="22.6640625" customWidth="1"/>
    <col min="8" max="8" width="27.88671875" customWidth="1"/>
    <col min="10" max="10" width="13.109375" bestFit="1" customWidth="1"/>
  </cols>
  <sheetData>
    <row r="1" spans="1:12" s="95" customFormat="1" ht="15" thickBot="1"/>
    <row r="2" spans="1:12" s="95" customFormat="1">
      <c r="A2" s="1818" t="s">
        <v>594</v>
      </c>
      <c r="B2" s="1788" t="s">
        <v>674</v>
      </c>
      <c r="C2" s="1789"/>
      <c r="D2" s="1790"/>
    </row>
    <row r="3" spans="1:12" s="95" customFormat="1" ht="28.8">
      <c r="A3" s="1819"/>
      <c r="B3" s="247" t="s">
        <v>1898</v>
      </c>
      <c r="C3" s="1627" t="s">
        <v>627</v>
      </c>
      <c r="D3" s="248" t="s">
        <v>1899</v>
      </c>
    </row>
    <row r="4" spans="1:12" s="95" customFormat="1" ht="21">
      <c r="A4" s="1650">
        <v>0.9</v>
      </c>
      <c r="B4" s="1801">
        <f>G11</f>
        <v>1851.8329150770194</v>
      </c>
      <c r="C4" s="99">
        <f>G12</f>
        <v>2244.0436736513916</v>
      </c>
      <c r="D4" s="261">
        <f>H12</f>
        <v>392.21075857437251</v>
      </c>
    </row>
    <row r="5" spans="1:12" s="95" customFormat="1" ht="21">
      <c r="A5" s="1650">
        <v>0.92</v>
      </c>
      <c r="B5" s="1801"/>
      <c r="C5" s="99">
        <f t="shared" ref="C5:C7" si="0">G13</f>
        <v>2280.549981393985</v>
      </c>
      <c r="D5" s="261">
        <f t="shared" ref="D5:D7" si="1">H13</f>
        <v>428.71706631696554</v>
      </c>
    </row>
    <row r="6" spans="1:12" s="95" customFormat="1" ht="21">
      <c r="A6" s="1650">
        <v>0.95</v>
      </c>
      <c r="B6" s="1801"/>
      <c r="C6" s="99">
        <f t="shared" si="0"/>
        <v>2388.6723488788693</v>
      </c>
      <c r="D6" s="261">
        <f t="shared" si="1"/>
        <v>536.83943380184985</v>
      </c>
    </row>
    <row r="7" spans="1:12" s="95" customFormat="1" ht="21.6" thickBot="1">
      <c r="A7" s="1651">
        <v>0.98</v>
      </c>
      <c r="B7" s="1802"/>
      <c r="C7" s="262">
        <f t="shared" si="0"/>
        <v>2511.3478490747616</v>
      </c>
      <c r="D7" s="263">
        <f t="shared" si="1"/>
        <v>659.51493399774222</v>
      </c>
    </row>
    <row r="8" spans="1:12" s="95" customFormat="1" ht="15" thickBot="1"/>
    <row r="9" spans="1:12" ht="35.4" customHeight="1">
      <c r="A9" s="1816" t="s">
        <v>770</v>
      </c>
      <c r="B9" s="1817"/>
      <c r="C9" s="1814" t="s">
        <v>767</v>
      </c>
      <c r="D9" s="1815"/>
      <c r="E9" s="1810" t="s">
        <v>768</v>
      </c>
      <c r="F9" s="1811"/>
      <c r="G9" s="1812" t="s">
        <v>769</v>
      </c>
      <c r="H9" s="1813"/>
      <c r="I9" s="354"/>
      <c r="J9" s="354"/>
      <c r="K9" s="354"/>
      <c r="L9" s="354"/>
    </row>
    <row r="10" spans="1:12" ht="21.6" thickBot="1">
      <c r="A10" s="355"/>
      <c r="B10" s="376" t="s">
        <v>594</v>
      </c>
      <c r="C10" s="377" t="s">
        <v>43</v>
      </c>
      <c r="D10" s="378" t="s">
        <v>26</v>
      </c>
      <c r="E10" s="377" t="s">
        <v>43</v>
      </c>
      <c r="F10" s="378" t="s">
        <v>26</v>
      </c>
      <c r="G10" s="377" t="s">
        <v>43</v>
      </c>
      <c r="H10" s="378" t="s">
        <v>26</v>
      </c>
      <c r="I10" s="354"/>
      <c r="J10" s="354"/>
      <c r="K10" s="354"/>
      <c r="L10" s="354"/>
    </row>
    <row r="11" spans="1:12" ht="21">
      <c r="A11" s="356" t="s">
        <v>599</v>
      </c>
      <c r="B11" s="372" t="s">
        <v>771</v>
      </c>
      <c r="C11" s="130">
        <v>2174.64</v>
      </c>
      <c r="D11" s="130"/>
      <c r="E11" s="357">
        <f>C11*'Labor Adjustment'!$B$4</f>
        <v>1783.4191722118026</v>
      </c>
      <c r="F11" s="357"/>
      <c r="G11" s="357">
        <f>E11*Inflation!$D$5</f>
        <v>1851.8329150770194</v>
      </c>
      <c r="H11" s="358"/>
      <c r="I11" s="354"/>
      <c r="J11" s="354"/>
      <c r="K11" s="354"/>
      <c r="L11" s="354"/>
    </row>
    <row r="12" spans="1:12" ht="21">
      <c r="A12" s="359" t="s">
        <v>598</v>
      </c>
      <c r="B12" s="373">
        <v>0.9</v>
      </c>
      <c r="C12" s="3">
        <v>2635.22</v>
      </c>
      <c r="D12" s="3">
        <f>C12-$C$11</f>
        <v>460.57999999999993</v>
      </c>
      <c r="E12" s="360">
        <f>C12*'Labor Adjustment'!$B$4</f>
        <v>2161.1401753835053</v>
      </c>
      <c r="F12" s="360">
        <f>D12*'Labor Adjustment'!$B$4</f>
        <v>377.72100317170288</v>
      </c>
      <c r="G12" s="360">
        <f>E12*Inflation!$D$5</f>
        <v>2244.0436736513916</v>
      </c>
      <c r="H12" s="361">
        <f>F12*Inflation!$D$5</f>
        <v>392.21075857437251</v>
      </c>
      <c r="I12" s="354"/>
      <c r="J12" s="354"/>
      <c r="K12" s="354"/>
      <c r="L12" s="354"/>
    </row>
    <row r="13" spans="1:12" ht="21">
      <c r="A13" s="359"/>
      <c r="B13" s="373">
        <v>0.92</v>
      </c>
      <c r="C13" s="3">
        <v>2678.09</v>
      </c>
      <c r="D13" s="3">
        <f t="shared" ref="D13:D14" si="2">C13-$C$11</f>
        <v>503.45000000000027</v>
      </c>
      <c r="E13" s="360">
        <f>C13*'Labor Adjustment'!$B$4</f>
        <v>2196.2978014332061</v>
      </c>
      <c r="F13" s="360">
        <f>D13*'Labor Adjustment'!$B$4</f>
        <v>412.87862922140334</v>
      </c>
      <c r="G13" s="360">
        <f>E13*Inflation!$D$5</f>
        <v>2280.549981393985</v>
      </c>
      <c r="H13" s="361">
        <f>F13*Inflation!$D$5</f>
        <v>428.71706631696554</v>
      </c>
      <c r="I13" s="354"/>
      <c r="J13" s="354"/>
      <c r="K13" s="354"/>
      <c r="L13" s="354"/>
    </row>
    <row r="14" spans="1:12" ht="21">
      <c r="A14" s="359"/>
      <c r="B14" s="373">
        <v>0.95</v>
      </c>
      <c r="C14" s="3">
        <v>2805.06</v>
      </c>
      <c r="D14" s="3">
        <f t="shared" si="2"/>
        <v>630.42000000000007</v>
      </c>
      <c r="E14" s="360">
        <f>C14*'Labor Adjustment'!$B$4</f>
        <v>2300.4257179139718</v>
      </c>
      <c r="F14" s="360">
        <f>D14*'Labor Adjustment'!$B$4</f>
        <v>517.00654570216898</v>
      </c>
      <c r="G14" s="360">
        <f>E14*Inflation!$D$5</f>
        <v>2388.6723488788693</v>
      </c>
      <c r="H14" s="361">
        <f>F14*Inflation!$D$5</f>
        <v>536.83943380184985</v>
      </c>
      <c r="I14" s="354"/>
      <c r="J14" s="354"/>
      <c r="L14" s="362"/>
    </row>
    <row r="15" spans="1:12" ht="21">
      <c r="A15" s="359"/>
      <c r="B15" s="373">
        <v>0.98</v>
      </c>
      <c r="C15" s="3">
        <v>2949.12</v>
      </c>
      <c r="D15" s="3">
        <f>C15-$C$11</f>
        <v>774.48</v>
      </c>
      <c r="E15" s="360">
        <f>C15*'Labor Adjustment'!$B$4</f>
        <v>2418.5691190970788</v>
      </c>
      <c r="F15" s="360">
        <f>D15*'Labor Adjustment'!$B$4</f>
        <v>635.14994688527622</v>
      </c>
      <c r="G15" s="360">
        <f>E15*Inflation!$D$5</f>
        <v>2511.3478490747616</v>
      </c>
      <c r="H15" s="361">
        <f>F15*Inflation!$D$5</f>
        <v>659.51493399774222</v>
      </c>
      <c r="I15" s="354"/>
      <c r="J15" s="354"/>
      <c r="L15" s="362"/>
    </row>
    <row r="16" spans="1:12" ht="21.6" thickBot="1">
      <c r="A16" s="363"/>
      <c r="B16" s="374" t="s">
        <v>600</v>
      </c>
      <c r="C16" s="1463">
        <f>AVERAGE(C12:C15)</f>
        <v>2766.8724999999995</v>
      </c>
      <c r="D16" s="1463">
        <f>AVERAGE(D12:D15)</f>
        <v>592.23250000000007</v>
      </c>
      <c r="E16" s="364">
        <f t="shared" ref="E16:H16" si="3">AVERAGE(E12:E15)</f>
        <v>2269.1082034569404</v>
      </c>
      <c r="F16" s="364">
        <f t="shared" si="3"/>
        <v>485.68903124513787</v>
      </c>
      <c r="G16" s="364">
        <f t="shared" si="3"/>
        <v>2356.1534632497519</v>
      </c>
      <c r="H16" s="365">
        <f t="shared" si="3"/>
        <v>504.32054817273257</v>
      </c>
      <c r="I16" s="354"/>
      <c r="J16" s="379"/>
      <c r="L16" s="362"/>
    </row>
    <row r="17" spans="1:38" ht="21.6" thickBot="1">
      <c r="A17" s="366"/>
      <c r="B17" s="375"/>
      <c r="C17" s="1464"/>
      <c r="D17" s="1464"/>
      <c r="E17" s="367"/>
      <c r="F17" s="367"/>
      <c r="G17" s="367"/>
      <c r="H17" s="368"/>
      <c r="I17" s="354"/>
      <c r="J17" s="354"/>
      <c r="K17" s="354"/>
      <c r="L17" s="354"/>
    </row>
    <row r="18" spans="1:38" ht="21">
      <c r="A18" s="356" t="s">
        <v>604</v>
      </c>
      <c r="B18" s="372" t="s">
        <v>771</v>
      </c>
      <c r="C18" s="130">
        <v>61.1</v>
      </c>
      <c r="D18" s="130"/>
      <c r="E18" s="357">
        <f>C18*'Labor Adjustment'!$B$4</f>
        <v>50.108023131249837</v>
      </c>
      <c r="F18" s="357"/>
      <c r="G18" s="357">
        <f>E18*Inflation!$D$5</f>
        <v>52.030217006587705</v>
      </c>
      <c r="H18" s="358"/>
      <c r="I18" s="354"/>
      <c r="J18" s="354"/>
      <c r="K18" s="354"/>
      <c r="L18" s="354"/>
    </row>
    <row r="19" spans="1:38" ht="21">
      <c r="A19" s="359" t="s">
        <v>605</v>
      </c>
      <c r="B19" s="373">
        <v>0.9</v>
      </c>
      <c r="C19" s="3">
        <v>66.03</v>
      </c>
      <c r="D19" s="3">
        <f>C19-$C$18</f>
        <v>4.93</v>
      </c>
      <c r="E19" s="360">
        <f>C19*'Labor Adjustment'!$B$4</f>
        <v>54.151109122036445</v>
      </c>
      <c r="F19" s="360">
        <f>D19*'Labor Adjustment'!$B$4</f>
        <v>4.043085990786607</v>
      </c>
      <c r="G19" s="360">
        <f>E19*Inflation!$D$5</f>
        <v>56.22839981906688</v>
      </c>
      <c r="H19" s="361">
        <f>F19*Inflation!$D$5</f>
        <v>4.1981828124791711</v>
      </c>
      <c r="I19" s="354"/>
      <c r="J19" s="354"/>
      <c r="K19" s="354"/>
      <c r="L19" s="354"/>
    </row>
    <row r="20" spans="1:38" ht="21">
      <c r="A20" s="359"/>
      <c r="B20" s="373">
        <v>0.92</v>
      </c>
      <c r="C20" s="3">
        <v>66.03</v>
      </c>
      <c r="D20" s="3">
        <f t="shared" ref="D20:D22" si="4">C20-$C$18</f>
        <v>4.93</v>
      </c>
      <c r="E20" s="360">
        <f>C20*'Labor Adjustment'!$B$4</f>
        <v>54.151109122036445</v>
      </c>
      <c r="F20" s="360">
        <f>D20*'Labor Adjustment'!$B$4</f>
        <v>4.043085990786607</v>
      </c>
      <c r="G20" s="360">
        <f>E20*Inflation!$D$5</f>
        <v>56.22839981906688</v>
      </c>
      <c r="H20" s="361">
        <f>F20*Inflation!$D$5</f>
        <v>4.1981828124791711</v>
      </c>
      <c r="I20" s="354"/>
      <c r="J20" s="354"/>
      <c r="K20" s="354"/>
      <c r="L20" s="354"/>
    </row>
    <row r="21" spans="1:38" ht="21">
      <c r="A21" s="359"/>
      <c r="B21" s="373">
        <v>0.95</v>
      </c>
      <c r="C21" s="3">
        <v>66.03</v>
      </c>
      <c r="D21" s="3">
        <f t="shared" si="4"/>
        <v>4.93</v>
      </c>
      <c r="E21" s="360">
        <f>C21*'Labor Adjustment'!$B$4</f>
        <v>54.151109122036445</v>
      </c>
      <c r="F21" s="360">
        <f>D21*'Labor Adjustment'!$B$4</f>
        <v>4.043085990786607</v>
      </c>
      <c r="G21" s="360">
        <f>E21*Inflation!$D$5</f>
        <v>56.22839981906688</v>
      </c>
      <c r="H21" s="361">
        <f>F21*Inflation!$D$5</f>
        <v>4.1981828124791711</v>
      </c>
      <c r="I21" s="354"/>
      <c r="J21" s="354"/>
      <c r="K21" s="354"/>
      <c r="L21" s="354"/>
    </row>
    <row r="22" spans="1:38" ht="21">
      <c r="A22" s="359"/>
      <c r="B22" s="373">
        <v>0.98</v>
      </c>
      <c r="C22" s="3">
        <v>66.03</v>
      </c>
      <c r="D22" s="3">
        <f t="shared" si="4"/>
        <v>4.93</v>
      </c>
      <c r="E22" s="360">
        <f>C22*'Labor Adjustment'!$B$4</f>
        <v>54.151109122036445</v>
      </c>
      <c r="F22" s="360">
        <f>D22*'Labor Adjustment'!$B$4</f>
        <v>4.043085990786607</v>
      </c>
      <c r="G22" s="360">
        <f>E22*Inflation!$D$5</f>
        <v>56.22839981906688</v>
      </c>
      <c r="H22" s="361">
        <f>F22*Inflation!$D$5</f>
        <v>4.1981828124791711</v>
      </c>
      <c r="I22" s="354"/>
      <c r="J22" s="354"/>
      <c r="K22" s="354"/>
      <c r="L22" s="354"/>
    </row>
    <row r="23" spans="1:38" ht="21.6" thickBot="1">
      <c r="A23" s="363"/>
      <c r="B23" s="374" t="s">
        <v>600</v>
      </c>
      <c r="C23" s="1463">
        <f>AVERAGE(C19:C22)</f>
        <v>66.03</v>
      </c>
      <c r="D23" s="1463">
        <f t="shared" ref="D23" si="5">AVERAGE(D19:D22)</f>
        <v>4.93</v>
      </c>
      <c r="E23" s="364">
        <f t="shared" ref="E23:H23" si="6">AVERAGE(E19:E22)</f>
        <v>54.151109122036445</v>
      </c>
      <c r="F23" s="364">
        <f t="shared" si="6"/>
        <v>4.043085990786607</v>
      </c>
      <c r="G23" s="364">
        <f t="shared" si="6"/>
        <v>56.22839981906688</v>
      </c>
      <c r="H23" s="365">
        <f t="shared" si="6"/>
        <v>4.1981828124791711</v>
      </c>
      <c r="I23" s="354"/>
      <c r="J23" s="354"/>
      <c r="K23" s="354"/>
      <c r="L23" s="354"/>
    </row>
    <row r="24" spans="1:38" ht="21">
      <c r="A24" s="354"/>
      <c r="B24" s="354"/>
      <c r="C24" s="354"/>
      <c r="D24" s="354"/>
      <c r="E24" s="354"/>
      <c r="F24" s="354"/>
      <c r="G24" s="354"/>
      <c r="H24" s="354"/>
      <c r="I24" s="354"/>
      <c r="J24" s="354"/>
      <c r="K24" s="354"/>
      <c r="L24" s="354"/>
    </row>
    <row r="25" spans="1:38" ht="21">
      <c r="A25" s="369" t="s">
        <v>601</v>
      </c>
      <c r="B25" s="369"/>
      <c r="C25" s="369"/>
      <c r="D25" s="369"/>
      <c r="E25" s="354"/>
      <c r="F25" s="354"/>
      <c r="G25" s="354"/>
      <c r="H25" s="354"/>
      <c r="I25" s="354"/>
      <c r="J25" s="354"/>
      <c r="K25" s="354"/>
      <c r="L25" s="354"/>
    </row>
    <row r="26" spans="1:38" s="95" customFormat="1" ht="21">
      <c r="A26" s="370" t="s">
        <v>595</v>
      </c>
      <c r="B26" s="370" t="s">
        <v>596</v>
      </c>
      <c r="C26" s="371"/>
      <c r="D26" s="371"/>
      <c r="E26" s="371"/>
      <c r="F26" s="354"/>
      <c r="G26" s="354"/>
      <c r="H26" s="354"/>
      <c r="I26" s="354"/>
      <c r="J26" s="354"/>
      <c r="K26" s="354"/>
      <c r="L26" s="354"/>
    </row>
    <row r="27" spans="1:38" s="95" customFormat="1" ht="21">
      <c r="B27" s="1639" t="s">
        <v>597</v>
      </c>
      <c r="C27" s="371"/>
      <c r="D27" s="371"/>
      <c r="E27" s="371"/>
      <c r="F27" s="354"/>
      <c r="G27" s="354"/>
      <c r="H27" s="354"/>
      <c r="I27" s="354"/>
      <c r="J27" s="354"/>
      <c r="K27" s="354"/>
      <c r="L27" s="354"/>
    </row>
    <row r="28" spans="1:38" s="95" customFormat="1" ht="21">
      <c r="B28" s="371"/>
      <c r="C28" s="371"/>
      <c r="D28" s="371"/>
      <c r="E28" s="371"/>
      <c r="F28" s="354"/>
      <c r="G28" s="354"/>
      <c r="H28" s="354"/>
      <c r="I28" s="354"/>
      <c r="J28" s="354"/>
      <c r="K28" s="354"/>
      <c r="L28" s="354"/>
    </row>
    <row r="29" spans="1:38" s="95" customFormat="1" ht="21">
      <c r="A29" s="184" t="s">
        <v>634</v>
      </c>
      <c r="B29" s="371"/>
      <c r="C29" s="371"/>
      <c r="D29" s="371"/>
      <c r="E29" s="371"/>
      <c r="F29" s="354"/>
      <c r="G29" s="354"/>
      <c r="H29" s="354"/>
      <c r="I29" s="354"/>
      <c r="J29" s="354"/>
      <c r="K29" s="354"/>
      <c r="L29" s="354"/>
      <c r="N29"/>
      <c r="O29"/>
      <c r="P29"/>
      <c r="Q29"/>
      <c r="R29"/>
      <c r="S29"/>
      <c r="T29"/>
      <c r="U29"/>
      <c r="V29"/>
      <c r="W29"/>
      <c r="X29"/>
      <c r="Y29"/>
      <c r="Z29"/>
      <c r="AA29"/>
      <c r="AB29"/>
      <c r="AC29"/>
      <c r="AD29"/>
      <c r="AE29"/>
      <c r="AF29"/>
      <c r="AG29"/>
      <c r="AH29"/>
      <c r="AI29"/>
      <c r="AJ29"/>
      <c r="AK29"/>
      <c r="AL29"/>
    </row>
    <row r="30" spans="1:38" s="95" customFormat="1" ht="21">
      <c r="A30" s="371"/>
      <c r="B30" s="371"/>
      <c r="C30" s="371"/>
      <c r="D30" s="371"/>
      <c r="E30" s="371"/>
      <c r="F30" s="354"/>
      <c r="G30" s="354"/>
      <c r="H30" s="354"/>
      <c r="I30" s="354"/>
      <c r="J30" s="354"/>
      <c r="K30" s="354"/>
      <c r="L30" s="354"/>
      <c r="N30"/>
      <c r="O30"/>
      <c r="P30"/>
      <c r="Q30"/>
      <c r="R30"/>
      <c r="S30"/>
      <c r="T30"/>
      <c r="U30"/>
      <c r="V30"/>
      <c r="W30"/>
      <c r="X30"/>
      <c r="Y30"/>
      <c r="Z30"/>
      <c r="AA30"/>
      <c r="AB30"/>
      <c r="AC30"/>
      <c r="AD30"/>
      <c r="AE30"/>
      <c r="AF30"/>
      <c r="AG30"/>
      <c r="AH30"/>
      <c r="AI30"/>
      <c r="AJ30"/>
      <c r="AK30"/>
      <c r="AL30"/>
    </row>
    <row r="31" spans="1:38" ht="21">
      <c r="B31" s="354"/>
      <c r="C31" s="354"/>
      <c r="D31" s="354"/>
      <c r="E31" s="354"/>
      <c r="F31" s="354"/>
      <c r="G31" s="354"/>
      <c r="H31" s="354"/>
      <c r="I31" s="354"/>
      <c r="J31" s="354"/>
      <c r="K31" s="354"/>
      <c r="L31" s="354"/>
    </row>
    <row r="32" spans="1:38">
      <c r="B32" s="95"/>
      <c r="C32" s="95"/>
      <c r="D32" s="95"/>
      <c r="E32" s="95"/>
      <c r="F32" s="95"/>
      <c r="G32" s="95"/>
      <c r="H32" s="95"/>
      <c r="I32" s="95"/>
      <c r="J32" s="95"/>
      <c r="K32" s="95"/>
      <c r="L32" s="95"/>
    </row>
    <row r="33" spans="2:12">
      <c r="B33" s="95"/>
      <c r="C33" s="95"/>
      <c r="D33" s="95"/>
      <c r="E33" s="95"/>
      <c r="F33" s="95"/>
      <c r="G33" s="95"/>
      <c r="H33" s="95"/>
      <c r="I33" s="95"/>
      <c r="J33" s="95"/>
      <c r="K33" s="95"/>
      <c r="L33" s="95"/>
    </row>
    <row r="34" spans="2:12">
      <c r="B34" s="95"/>
      <c r="C34" s="95"/>
      <c r="D34" s="95"/>
      <c r="E34" s="95"/>
      <c r="F34" s="95"/>
      <c r="G34" s="95"/>
      <c r="H34" s="95"/>
      <c r="I34" s="95"/>
      <c r="J34" s="95"/>
      <c r="K34" s="95"/>
      <c r="L34" s="95"/>
    </row>
    <row r="35" spans="2:12">
      <c r="B35" s="95"/>
      <c r="C35" s="95"/>
      <c r="D35" s="95"/>
      <c r="E35" s="95"/>
      <c r="F35" s="95"/>
      <c r="G35" s="95"/>
      <c r="H35" s="95"/>
      <c r="I35" s="95"/>
      <c r="J35" s="95"/>
      <c r="K35" s="95"/>
      <c r="L35" s="95"/>
    </row>
    <row r="36" spans="2:12">
      <c r="B36" s="95"/>
      <c r="C36" s="95"/>
      <c r="D36" s="95"/>
      <c r="E36" s="95"/>
      <c r="F36" s="95"/>
      <c r="G36" s="95"/>
      <c r="H36" s="95"/>
      <c r="I36" s="95"/>
      <c r="J36" s="95"/>
      <c r="K36" s="95"/>
      <c r="L36" s="95"/>
    </row>
    <row r="37" spans="2:12">
      <c r="B37" s="95"/>
      <c r="C37" s="95"/>
      <c r="D37" s="95"/>
      <c r="E37" s="95"/>
      <c r="F37" s="95"/>
      <c r="G37" s="95"/>
      <c r="H37" s="95"/>
      <c r="I37" s="95"/>
      <c r="J37" s="95"/>
      <c r="K37" s="95"/>
      <c r="L37" s="95"/>
    </row>
    <row r="38" spans="2:12">
      <c r="B38" s="95"/>
      <c r="C38" s="95"/>
      <c r="D38" s="95"/>
      <c r="E38" s="95"/>
      <c r="F38" s="95"/>
      <c r="G38" s="95"/>
      <c r="H38" s="95"/>
      <c r="I38" s="95"/>
      <c r="J38" s="95"/>
      <c r="K38" s="95"/>
      <c r="L38" s="95"/>
    </row>
  </sheetData>
  <mergeCells count="7">
    <mergeCell ref="E9:F9"/>
    <mergeCell ref="G9:H9"/>
    <mergeCell ref="C9:D9"/>
    <mergeCell ref="A9:B9"/>
    <mergeCell ref="A2:A3"/>
    <mergeCell ref="B4:B7"/>
    <mergeCell ref="B2:D2"/>
  </mergeCells>
  <hyperlinks>
    <hyperlink ref="B27" r:id="rId1"/>
    <hyperlink ref="A29" location="'Master Summary'!A1" display="Return To Master Summary"/>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tint="-0.249977111117893"/>
  </sheetPr>
  <dimension ref="A1:T42"/>
  <sheetViews>
    <sheetView zoomScale="70" zoomScaleNormal="70" workbookViewId="0">
      <selection activeCell="E17" sqref="E17"/>
    </sheetView>
  </sheetViews>
  <sheetFormatPr defaultRowHeight="14.4"/>
  <cols>
    <col min="1" max="1" width="30.44140625" customWidth="1"/>
    <col min="2" max="2" width="22.5546875" customWidth="1"/>
    <col min="3" max="3" width="31.109375" customWidth="1"/>
    <col min="4" max="4" width="27.88671875" customWidth="1"/>
    <col min="5" max="5" width="20.33203125" customWidth="1"/>
    <col min="6" max="6" width="18.88671875" customWidth="1"/>
    <col min="7" max="7" width="22.5546875" customWidth="1"/>
    <col min="8" max="8" width="16.109375" customWidth="1"/>
    <col min="9" max="9" width="15.6640625" customWidth="1"/>
    <col min="10" max="10" width="16.109375" customWidth="1"/>
    <col min="11" max="11" width="16.44140625" customWidth="1"/>
    <col min="12" max="12" width="15.5546875" customWidth="1"/>
    <col min="13" max="13" width="10.109375" bestFit="1" customWidth="1"/>
    <col min="14" max="14" width="16.5546875" customWidth="1"/>
    <col min="15" max="15" width="18" customWidth="1"/>
    <col min="17" max="17" width="17" customWidth="1"/>
    <col min="18" max="18" width="18" customWidth="1"/>
    <col min="19" max="19" width="18.44140625" customWidth="1"/>
    <col min="20" max="20" width="16.109375" customWidth="1"/>
  </cols>
  <sheetData>
    <row r="1" spans="1:20" s="95" customFormat="1" ht="15" thickBot="1"/>
    <row r="2" spans="1:20" s="95" customFormat="1" ht="18">
      <c r="A2" s="1843" t="s">
        <v>754</v>
      </c>
      <c r="B2" s="1844"/>
      <c r="C2" s="1844"/>
      <c r="D2" s="1844"/>
      <c r="E2" s="1844"/>
      <c r="F2" s="1844"/>
      <c r="G2" s="1844"/>
      <c r="H2" s="1844"/>
      <c r="I2" s="1845"/>
    </row>
    <row r="3" spans="1:20" s="95" customFormat="1" ht="15" customHeight="1">
      <c r="A3" s="233" t="s">
        <v>400</v>
      </c>
      <c r="B3" s="232" t="s">
        <v>755</v>
      </c>
      <c r="C3" s="1849" t="s">
        <v>655</v>
      </c>
      <c r="D3" s="1849"/>
      <c r="E3" s="1849"/>
      <c r="F3" s="1849"/>
      <c r="G3" s="1849"/>
      <c r="H3" s="1849" t="s">
        <v>184</v>
      </c>
      <c r="I3" s="1850"/>
    </row>
    <row r="4" spans="1:20" s="95" customFormat="1" ht="57.6">
      <c r="A4" s="233"/>
      <c r="B4" s="232" t="s">
        <v>759</v>
      </c>
      <c r="C4" s="1627" t="s">
        <v>760</v>
      </c>
      <c r="D4" s="1627" t="s">
        <v>761</v>
      </c>
      <c r="E4" s="1627" t="s">
        <v>1779</v>
      </c>
      <c r="F4" s="1627" t="s">
        <v>1780</v>
      </c>
      <c r="G4" s="254" t="s">
        <v>758</v>
      </c>
      <c r="H4" s="232" t="s">
        <v>1781</v>
      </c>
      <c r="I4" s="234" t="s">
        <v>1782</v>
      </c>
    </row>
    <row r="5" spans="1:20" s="95" customFormat="1" ht="15" customHeight="1">
      <c r="A5" s="1652" t="s">
        <v>756</v>
      </c>
      <c r="B5" s="230">
        <v>2</v>
      </c>
      <c r="C5" s="1841">
        <f>C14</f>
        <v>763.41082808286569</v>
      </c>
      <c r="D5" s="1841">
        <f>C31</f>
        <v>1035.7743342106837</v>
      </c>
      <c r="E5" s="255">
        <f>AVERAGE(I14,I17,I20,I23)</f>
        <v>2101.2286366277581</v>
      </c>
      <c r="F5" s="255">
        <f>AVERAGE(I31,I34,I37,I40)</f>
        <v>2492.0533697835317</v>
      </c>
      <c r="G5" s="1841">
        <f>T16</f>
        <v>390.82473315577329</v>
      </c>
      <c r="H5" s="231">
        <f>N14</f>
        <v>1337.8178085448924</v>
      </c>
      <c r="I5" s="236">
        <f>N31</f>
        <v>1456.279035572848</v>
      </c>
    </row>
    <row r="6" spans="1:20" s="95" customFormat="1" ht="15" customHeight="1" thickBot="1">
      <c r="A6" s="1653" t="s">
        <v>757</v>
      </c>
      <c r="B6" s="241">
        <v>2.2000000000000002</v>
      </c>
      <c r="C6" s="1842"/>
      <c r="D6" s="1842"/>
      <c r="E6" s="256">
        <f>AVERAGE(I15,I18,I21,I24)</f>
        <v>3016.7546274559641</v>
      </c>
      <c r="F6" s="256">
        <f>AVERAGE(I32,I35,I38,I41)</f>
        <v>3407.5793606117377</v>
      </c>
      <c r="G6" s="1842"/>
      <c r="H6" s="242">
        <f>O14</f>
        <v>2253.3437993730986</v>
      </c>
      <c r="I6" s="243">
        <f>O31</f>
        <v>2371.805026401054</v>
      </c>
    </row>
    <row r="7" spans="1:20" s="95" customFormat="1"/>
    <row r="8" spans="1:20" s="95" customFormat="1" ht="21">
      <c r="A8" s="184" t="s">
        <v>634</v>
      </c>
    </row>
    <row r="9" spans="1:20" s="95" customFormat="1"/>
    <row r="10" spans="1:20">
      <c r="A10" s="1851" t="s">
        <v>1846</v>
      </c>
      <c r="B10" s="1852"/>
      <c r="C10" s="1852"/>
      <c r="D10" s="1852"/>
      <c r="E10" s="1852"/>
      <c r="F10" s="1852"/>
      <c r="G10" s="1852"/>
      <c r="H10" s="1852"/>
      <c r="I10" s="1852"/>
      <c r="J10" s="1852"/>
      <c r="K10" s="1852"/>
      <c r="L10" s="1853"/>
    </row>
    <row r="11" spans="1:20">
      <c r="A11" s="1854"/>
      <c r="B11" s="1855"/>
      <c r="C11" s="1855"/>
      <c r="D11" s="1855"/>
      <c r="E11" s="1855"/>
      <c r="F11" s="1855"/>
      <c r="G11" s="1855"/>
      <c r="H11" s="1855"/>
      <c r="I11" s="1855"/>
      <c r="J11" s="1855"/>
      <c r="K11" s="1855"/>
      <c r="L11" s="1856"/>
    </row>
    <row r="12" spans="1:20" ht="51" customHeight="1">
      <c r="A12" s="1761" t="s">
        <v>523</v>
      </c>
      <c r="B12" s="1761"/>
      <c r="C12" s="1762"/>
      <c r="D12" s="1823" t="s">
        <v>62</v>
      </c>
      <c r="E12" s="1824"/>
      <c r="F12" s="1824"/>
      <c r="G12" s="1824"/>
      <c r="H12" s="1824"/>
      <c r="I12" s="1825"/>
      <c r="J12" s="1826" t="s">
        <v>753</v>
      </c>
      <c r="K12" s="1826"/>
      <c r="L12" s="1826"/>
      <c r="M12" s="95"/>
    </row>
    <row r="13" spans="1:20" ht="59.25" customHeight="1" thickBot="1">
      <c r="A13" s="142" t="s">
        <v>66</v>
      </c>
      <c r="B13" s="143" t="s">
        <v>752</v>
      </c>
      <c r="C13" s="143" t="s">
        <v>636</v>
      </c>
      <c r="D13" s="144" t="s">
        <v>414</v>
      </c>
      <c r="E13" s="145" t="s">
        <v>60</v>
      </c>
      <c r="F13" s="145" t="s">
        <v>61</v>
      </c>
      <c r="G13" s="146" t="s">
        <v>63</v>
      </c>
      <c r="H13" s="147" t="s">
        <v>637</v>
      </c>
      <c r="I13" s="147" t="s">
        <v>750</v>
      </c>
      <c r="J13" s="145" t="s">
        <v>48</v>
      </c>
      <c r="K13" s="145" t="s">
        <v>112</v>
      </c>
      <c r="L13" s="145" t="s">
        <v>413</v>
      </c>
      <c r="M13" s="95"/>
      <c r="N13" s="140" t="s">
        <v>569</v>
      </c>
      <c r="O13" s="140" t="s">
        <v>570</v>
      </c>
      <c r="Q13" s="1846" t="s">
        <v>763</v>
      </c>
      <c r="R13" s="1847"/>
      <c r="S13" s="1847"/>
      <c r="T13" s="1848"/>
    </row>
    <row r="14" spans="1:20" ht="28.8">
      <c r="A14" s="1827">
        <f xml:space="preserve"> 0.96-(0.0003*40)</f>
        <v>0.94799999999999995</v>
      </c>
      <c r="B14" s="1830">
        <f>((40*'Equipment Results Matrix'!$R$335)+($A$14*'Equipment Results Matrix'!$R$334)+'Equipment Results Matrix'!$R$336+'Equipment Results Matrix'!$T$341)*(1+'Equipment Results Matrix'!$T$343)</f>
        <v>708.04617271810264</v>
      </c>
      <c r="C14" s="1831">
        <f>B14*Inflation!$D$3</f>
        <v>763.41082808286569</v>
      </c>
      <c r="D14" s="126">
        <v>2</v>
      </c>
      <c r="E14" s="127">
        <v>40</v>
      </c>
      <c r="F14" s="128">
        <v>3</v>
      </c>
      <c r="G14" s="129" t="s">
        <v>64</v>
      </c>
      <c r="H14" s="130">
        <f>((E14*'Equipment Results Matrix'!$R$356)+(F14*'Equipment Results Matrix'!$R$357)+($D$14*'Equipment Results Matrix'!$R$358)+'Equipment Results Matrix'!$R$360+'Equipment Results Matrix'!$T$363)*(1+'Equipment Results Matrix'!$T$365)</f>
        <v>1873.5915</v>
      </c>
      <c r="I14" s="130">
        <f>H14*Inflation!$D$3</f>
        <v>2020.0943012137116</v>
      </c>
      <c r="J14" s="131">
        <f>H14-$B$14</f>
        <v>1165.5453272818972</v>
      </c>
      <c r="K14" s="131">
        <f>I14-$C$14</f>
        <v>1256.6834731308459</v>
      </c>
      <c r="L14" s="1820">
        <f>AVERAGE(K14:K16)</f>
        <v>1703.4341992886602</v>
      </c>
      <c r="N14" s="9">
        <f>(K14+K17+K20+K23)/4</f>
        <v>1337.8178085448924</v>
      </c>
      <c r="O14" s="9">
        <f>(K15+K18+K21+K24)/4</f>
        <v>2253.3437993730986</v>
      </c>
      <c r="Q14" s="148" t="s">
        <v>171</v>
      </c>
      <c r="R14" s="148" t="s">
        <v>169</v>
      </c>
      <c r="S14" s="148" t="s">
        <v>164</v>
      </c>
      <c r="T14" s="148" t="s">
        <v>167</v>
      </c>
    </row>
    <row r="15" spans="1:20">
      <c r="A15" s="1828"/>
      <c r="B15" s="1828"/>
      <c r="C15" s="1832"/>
      <c r="D15" s="132">
        <v>2.2000000000000002</v>
      </c>
      <c r="E15" s="97">
        <v>60</v>
      </c>
      <c r="F15" s="19">
        <v>3</v>
      </c>
      <c r="G15" s="97" t="s">
        <v>64</v>
      </c>
      <c r="H15" s="3">
        <f>((E15*'Equipment Results Matrix'!$R$356)+(F15*'Equipment Results Matrix'!$R$357)+($D$15*'Equipment Results Matrix'!$R$358)+'Equipment Results Matrix'!$R$360+'Equipment Results Matrix'!$T$363)*(1+'Equipment Results Matrix'!$T$365)</f>
        <v>2227.9731999999995</v>
      </c>
      <c r="I15" s="3">
        <f>H15*Inflation!$D$3</f>
        <v>2402.1863701756097</v>
      </c>
      <c r="J15" s="9">
        <f t="shared" ref="J15:J25" si="0">H15-$B$14</f>
        <v>1519.9270272818967</v>
      </c>
      <c r="K15" s="9">
        <f t="shared" ref="K15:K25" si="1">I15-$C$14</f>
        <v>1638.775542092744</v>
      </c>
      <c r="L15" s="1821"/>
      <c r="M15" s="95"/>
      <c r="Q15" s="69" t="s">
        <v>172</v>
      </c>
      <c r="R15" s="69">
        <v>40</v>
      </c>
      <c r="S15" s="70">
        <f>(0.0222*(R15)+3.0515)*'Labor Results Matrix'!$G$218*1.21*'Labor Adjustment'!$B$4</f>
        <v>252.61095468893754</v>
      </c>
      <c r="T15" s="71">
        <f>S15*Inflation!$D$3</f>
        <v>272.36350612781808</v>
      </c>
    </row>
    <row r="16" spans="1:20" ht="29.4" thickBot="1">
      <c r="A16" s="1828"/>
      <c r="B16" s="1828"/>
      <c r="C16" s="1832"/>
      <c r="D16" s="133">
        <v>2.2000000000000002</v>
      </c>
      <c r="E16" s="134">
        <v>80</v>
      </c>
      <c r="F16" s="135">
        <v>3</v>
      </c>
      <c r="G16" s="134" t="s">
        <v>64</v>
      </c>
      <c r="H16" s="136">
        <f>((E16*'Equipment Results Matrix'!$R$356)+(F16*'Equipment Results Matrix'!$R$357)+($D$16*'Equipment Results Matrix'!$R$358)+'Equipment Results Matrix'!$R$360+'Equipment Results Matrix'!$T$363)*(1+'Equipment Results Matrix'!$T$365)</f>
        <v>2762.2631999999994</v>
      </c>
      <c r="I16" s="136">
        <f>H16*Inflation!$D$3</f>
        <v>2978.2544107252565</v>
      </c>
      <c r="J16" s="137">
        <f t="shared" si="0"/>
        <v>2054.2170272818967</v>
      </c>
      <c r="K16" s="137">
        <f t="shared" si="1"/>
        <v>2214.8435826423911</v>
      </c>
      <c r="L16" s="1822"/>
      <c r="M16" s="95"/>
      <c r="Q16" s="201" t="s">
        <v>173</v>
      </c>
      <c r="R16" s="225" t="s">
        <v>22</v>
      </c>
      <c r="S16" s="202">
        <f>'Labor Results Matrix'!$L$250*'Labor Adjustment'!$B$4</f>
        <v>362.48104734045216</v>
      </c>
      <c r="T16" s="202">
        <f>S16*Inflation!$D$3</f>
        <v>390.82473315577329</v>
      </c>
    </row>
    <row r="17" spans="1:15">
      <c r="A17" s="1828"/>
      <c r="B17" s="1828"/>
      <c r="C17" s="1832"/>
      <c r="D17" s="126">
        <v>2</v>
      </c>
      <c r="E17" s="127">
        <v>40</v>
      </c>
      <c r="F17" s="128">
        <v>4</v>
      </c>
      <c r="G17" s="129" t="s">
        <v>64</v>
      </c>
      <c r="H17" s="130">
        <f>((E17*'Equipment Results Matrix'!$R$356)+(F17*'Equipment Results Matrix'!$R$357)+($D$17*'Equipment Results Matrix'!$R$358)+'Equipment Results Matrix'!$R$360+'Equipment Results Matrix'!$T$363)*(1+'Equipment Results Matrix'!$T$365)</f>
        <v>1608.5394999999999</v>
      </c>
      <c r="I17" s="130">
        <f>H17*Inflation!$D$3</f>
        <v>1734.3169400731977</v>
      </c>
      <c r="J17" s="131">
        <f t="shared" si="0"/>
        <v>900.49332728189722</v>
      </c>
      <c r="K17" s="131">
        <f t="shared" si="1"/>
        <v>970.90611199033196</v>
      </c>
      <c r="L17" s="1820">
        <f>AVERAGE(K17:K19)</f>
        <v>2128.9020673032237</v>
      </c>
      <c r="M17" s="91"/>
    </row>
    <row r="18" spans="1:15">
      <c r="A18" s="1828"/>
      <c r="B18" s="1828"/>
      <c r="C18" s="1832"/>
      <c r="D18" s="132">
        <v>2.2000000000000002</v>
      </c>
      <c r="E18" s="97">
        <v>60</v>
      </c>
      <c r="F18" s="19">
        <v>4</v>
      </c>
      <c r="G18" s="97" t="s">
        <v>64</v>
      </c>
      <c r="H18" s="3">
        <f>((E18*'Equipment Results Matrix'!$R$356)+(F18*'Equipment Results Matrix'!$R$357)+($P$13*'Equipment Results Matrix'!$R$358)+'Equipment Results Matrix'!$R$360+'Equipment Results Matrix'!$T$363)*(1+'Equipment Results Matrix'!$T$365)</f>
        <v>3941.9124999999999</v>
      </c>
      <c r="I18" s="3">
        <f>H18*Inflation!$D$3</f>
        <v>4250.1446965003279</v>
      </c>
      <c r="J18" s="9">
        <f t="shared" si="0"/>
        <v>3233.8663272818972</v>
      </c>
      <c r="K18" s="9">
        <f t="shared" si="1"/>
        <v>3486.733868417462</v>
      </c>
      <c r="L18" s="1821"/>
      <c r="M18" s="95"/>
    </row>
    <row r="19" spans="1:15" ht="15" thickBot="1">
      <c r="A19" s="1828"/>
      <c r="B19" s="1828"/>
      <c r="C19" s="1832"/>
      <c r="D19" s="133">
        <v>2.2000000000000002</v>
      </c>
      <c r="E19" s="134">
        <v>80</v>
      </c>
      <c r="F19" s="135">
        <v>4</v>
      </c>
      <c r="G19" s="134" t="s">
        <v>64</v>
      </c>
      <c r="H19" s="136">
        <f>((E19*'Equipment Results Matrix'!$R$356)+(F19*'Equipment Results Matrix'!$R$357)+($D$19*'Equipment Results Matrix'!$R$358)+'Equipment Results Matrix'!$R$360+'Equipment Results Matrix'!$T$363)*(1+'Equipment Results Matrix'!$T$365)</f>
        <v>2497.2111999999997</v>
      </c>
      <c r="I19" s="136">
        <f>H19*Inflation!$D$3</f>
        <v>2692.4770495847433</v>
      </c>
      <c r="J19" s="137">
        <f t="shared" si="0"/>
        <v>1789.165027281897</v>
      </c>
      <c r="K19" s="137">
        <f t="shared" si="1"/>
        <v>1929.0662215018776</v>
      </c>
      <c r="L19" s="1822"/>
      <c r="M19" s="95"/>
      <c r="N19" s="4" t="s">
        <v>634</v>
      </c>
    </row>
    <row r="20" spans="1:15" ht="21">
      <c r="A20" s="1828"/>
      <c r="B20" s="1828"/>
      <c r="C20" s="1832"/>
      <c r="D20" s="126">
        <v>2</v>
      </c>
      <c r="E20" s="127">
        <v>40</v>
      </c>
      <c r="F20" s="128">
        <v>3</v>
      </c>
      <c r="G20" s="129" t="s">
        <v>65</v>
      </c>
      <c r="H20" s="130">
        <f>((E20*'Equipment Results Matrix'!$R$356)+(F20*'Equipment Results Matrix'!$R$357)+($D$20*'Equipment Results Matrix'!$R$358)+'Equipment Results Matrix'!$R$360+'Equipment Results Matrix'!$T$363+'Equipment Results Matrix'!$R$359)*(1+'Equipment Results Matrix'!$T$365)</f>
        <v>2289.1439999999998</v>
      </c>
      <c r="I20" s="130">
        <f>H20*Inflation!$D$3</f>
        <v>2468.1403331823185</v>
      </c>
      <c r="J20" s="131">
        <f t="shared" si="0"/>
        <v>1581.097827281897</v>
      </c>
      <c r="K20" s="131">
        <f t="shared" si="1"/>
        <v>1704.7295050994528</v>
      </c>
      <c r="L20" s="1820">
        <f>AVERAGE(K20:K22)</f>
        <v>2151.4802312572674</v>
      </c>
      <c r="M20" s="91"/>
      <c r="N20" s="184"/>
    </row>
    <row r="21" spans="1:15">
      <c r="A21" s="1828"/>
      <c r="B21" s="1828"/>
      <c r="C21" s="1832"/>
      <c r="D21" s="132">
        <v>2.2000000000000002</v>
      </c>
      <c r="E21" s="97">
        <v>60</v>
      </c>
      <c r="F21" s="19">
        <v>3</v>
      </c>
      <c r="G21" s="97" t="s">
        <v>65</v>
      </c>
      <c r="H21" s="3">
        <f>((E21*'Equipment Results Matrix'!$R$356)+(F21*'Equipment Results Matrix'!$R$357)+($D$21*'Equipment Results Matrix'!$R$358)+'Equipment Results Matrix'!$R$360+'Equipment Results Matrix'!$T$363+'Equipment Results Matrix'!$R$359)*(1+'Equipment Results Matrix'!$T$365)</f>
        <v>2643.5256999999992</v>
      </c>
      <c r="I21" s="3">
        <f>H21*Inflation!$D$3</f>
        <v>2850.2324021442168</v>
      </c>
      <c r="J21" s="9">
        <f t="shared" si="0"/>
        <v>1935.4795272818965</v>
      </c>
      <c r="K21" s="9">
        <f t="shared" si="1"/>
        <v>2086.8215740613514</v>
      </c>
      <c r="L21" s="1821"/>
      <c r="M21" s="95"/>
    </row>
    <row r="22" spans="1:15" ht="15" thickBot="1">
      <c r="A22" s="1828"/>
      <c r="B22" s="1828"/>
      <c r="C22" s="1832"/>
      <c r="D22" s="133">
        <v>2.2000000000000002</v>
      </c>
      <c r="E22" s="134">
        <v>80</v>
      </c>
      <c r="F22" s="135">
        <v>3</v>
      </c>
      <c r="G22" s="134" t="s">
        <v>65</v>
      </c>
      <c r="H22" s="136">
        <f>((E22*'Equipment Results Matrix'!$R$356)+(F22*'Equipment Results Matrix'!$R$357)+($D$22*'Equipment Results Matrix'!$R$358)+'Equipment Results Matrix'!$R$360+'Equipment Results Matrix'!$T$363+'Equipment Results Matrix'!$R$359)*(1+'Equipment Results Matrix'!$T$365)</f>
        <v>3177.8156999999997</v>
      </c>
      <c r="I22" s="136">
        <f>H22*Inflation!$D$3</f>
        <v>3426.3004426938642</v>
      </c>
      <c r="J22" s="137">
        <f t="shared" si="0"/>
        <v>2469.7695272818969</v>
      </c>
      <c r="K22" s="137">
        <f t="shared" si="1"/>
        <v>2662.8896146109983</v>
      </c>
      <c r="L22" s="1822"/>
      <c r="M22" s="95"/>
    </row>
    <row r="23" spans="1:15">
      <c r="A23" s="1828"/>
      <c r="B23" s="1828"/>
      <c r="C23" s="1832"/>
      <c r="D23" s="126">
        <v>2</v>
      </c>
      <c r="E23" s="127">
        <v>40</v>
      </c>
      <c r="F23" s="128">
        <v>4</v>
      </c>
      <c r="G23" s="129" t="s">
        <v>65</v>
      </c>
      <c r="H23" s="130">
        <f>((E23*'Equipment Results Matrix'!$R$356)+(F23*'Equipment Results Matrix'!$R$357)+($D$23*'Equipment Results Matrix'!$R$358)+'Equipment Results Matrix'!$R$360+'Equipment Results Matrix'!$T$363+'Equipment Results Matrix'!$R$359)*(1+'Equipment Results Matrix'!$T$365)</f>
        <v>2024.0919999999999</v>
      </c>
      <c r="I23" s="130">
        <f>H23*Inflation!$D$3</f>
        <v>2182.3629720418048</v>
      </c>
      <c r="J23" s="131">
        <f t="shared" si="0"/>
        <v>1316.0458272818973</v>
      </c>
      <c r="K23" s="131">
        <f t="shared" si="1"/>
        <v>1418.9521439589391</v>
      </c>
      <c r="L23" s="1820">
        <f>AVERAGE(K23:K25)</f>
        <v>1865.7028701167535</v>
      </c>
      <c r="M23" s="91"/>
    </row>
    <row r="24" spans="1:15">
      <c r="A24" s="1828"/>
      <c r="B24" s="1828"/>
      <c r="C24" s="1832"/>
      <c r="D24" s="132">
        <v>2.2000000000000002</v>
      </c>
      <c r="E24" s="97">
        <v>60</v>
      </c>
      <c r="F24" s="19">
        <v>4</v>
      </c>
      <c r="G24" s="97" t="s">
        <v>65</v>
      </c>
      <c r="H24" s="3">
        <f>((E24*'Equipment Results Matrix'!$R$356)+(F24*'Equipment Results Matrix'!$R$357)+($D$24*'Equipment Results Matrix'!$R$358)+'Equipment Results Matrix'!$R$360+'Equipment Results Matrix'!$T$363+'Equipment Results Matrix'!$R$359)*(1+'Equipment Results Matrix'!$T$365)</f>
        <v>2378.4736999999991</v>
      </c>
      <c r="I24" s="3">
        <f>H24*Inflation!$D$3</f>
        <v>2564.4550410037027</v>
      </c>
      <c r="J24" s="9">
        <f t="shared" si="0"/>
        <v>1670.4275272818963</v>
      </c>
      <c r="K24" s="9">
        <f t="shared" si="1"/>
        <v>1801.044212920837</v>
      </c>
      <c r="L24" s="1821"/>
      <c r="M24" s="95"/>
    </row>
    <row r="25" spans="1:15" ht="15" thickBot="1">
      <c r="A25" s="1829"/>
      <c r="B25" s="1829"/>
      <c r="C25" s="1833"/>
      <c r="D25" s="133">
        <v>2.2000000000000002</v>
      </c>
      <c r="E25" s="134">
        <v>80</v>
      </c>
      <c r="F25" s="135">
        <v>4</v>
      </c>
      <c r="G25" s="134" t="s">
        <v>65</v>
      </c>
      <c r="H25" s="136">
        <f>((E25*'Equipment Results Matrix'!$R$356)+(F25*'Equipment Results Matrix'!$R$357)+($D$25*'Equipment Results Matrix'!$R$358)+'Equipment Results Matrix'!$R$360+'Equipment Results Matrix'!$T$363+'Equipment Results Matrix'!$R$359)*(1+'Equipment Results Matrix'!$T$365)</f>
        <v>2912.7636999999995</v>
      </c>
      <c r="I25" s="136">
        <f>H25*Inflation!$D$3</f>
        <v>3140.5230815533505</v>
      </c>
      <c r="J25" s="137">
        <f t="shared" si="0"/>
        <v>2204.7175272818968</v>
      </c>
      <c r="K25" s="137">
        <f t="shared" si="1"/>
        <v>2377.1122534704846</v>
      </c>
      <c r="L25" s="1822"/>
      <c r="M25" s="95"/>
    </row>
    <row r="28" spans="1:15">
      <c r="A28" s="1834" t="s">
        <v>751</v>
      </c>
      <c r="B28" s="1835"/>
      <c r="C28" s="1835"/>
      <c r="D28" s="1835"/>
      <c r="E28" s="1835"/>
      <c r="F28" s="1835"/>
      <c r="G28" s="1835"/>
      <c r="H28" s="1835"/>
      <c r="I28" s="1835"/>
      <c r="J28" s="1835"/>
      <c r="K28" s="1835"/>
      <c r="L28" s="1836"/>
    </row>
    <row r="29" spans="1:15">
      <c r="A29" s="1761" t="s">
        <v>66</v>
      </c>
      <c r="B29" s="1761"/>
      <c r="C29" s="1762"/>
      <c r="D29" s="1823" t="s">
        <v>62</v>
      </c>
      <c r="E29" s="1824"/>
      <c r="F29" s="1824"/>
      <c r="G29" s="1824"/>
      <c r="H29" s="1824"/>
      <c r="I29" s="1825"/>
      <c r="J29" s="1826" t="s">
        <v>415</v>
      </c>
      <c r="K29" s="1826"/>
      <c r="L29" s="1826"/>
    </row>
    <row r="30" spans="1:15" ht="58.2" thickBot="1">
      <c r="A30" s="142" t="s">
        <v>66</v>
      </c>
      <c r="B30" s="143" t="s">
        <v>417</v>
      </c>
      <c r="C30" s="143" t="s">
        <v>418</v>
      </c>
      <c r="D30" s="144" t="s">
        <v>414</v>
      </c>
      <c r="E30" s="145" t="s">
        <v>60</v>
      </c>
      <c r="F30" s="145" t="s">
        <v>61</v>
      </c>
      <c r="G30" s="146" t="s">
        <v>63</v>
      </c>
      <c r="H30" s="147" t="s">
        <v>412</v>
      </c>
      <c r="I30" s="147" t="s">
        <v>416</v>
      </c>
      <c r="J30" s="145" t="s">
        <v>48</v>
      </c>
      <c r="K30" s="145" t="s">
        <v>112</v>
      </c>
      <c r="L30" s="145" t="s">
        <v>413</v>
      </c>
      <c r="N30" s="140" t="s">
        <v>569</v>
      </c>
      <c r="O30" s="140" t="s">
        <v>570</v>
      </c>
    </row>
    <row r="31" spans="1:15">
      <c r="A31" s="1827">
        <f xml:space="preserve"> 0.96-(0.0003*40)</f>
        <v>0.94799999999999995</v>
      </c>
      <c r="B31" s="1837">
        <f>((40*'Equipment Results Matrix'!$R$335)+($A$31*'Equipment Results Matrix'!$R$334)+'Equipment Results Matrix'!$R$336+'Equipment Results Matrix'!$T$341)*(1+'Equipment Results Matrix'!$T$343)+$S$15</f>
        <v>960.65712740704021</v>
      </c>
      <c r="C31" s="1840">
        <f>B31*Inflation!$D$3</f>
        <v>1035.7743342106837</v>
      </c>
      <c r="D31" s="126">
        <v>2</v>
      </c>
      <c r="E31" s="127">
        <v>40</v>
      </c>
      <c r="F31" s="128">
        <v>3</v>
      </c>
      <c r="G31" s="129" t="s">
        <v>64</v>
      </c>
      <c r="H31" s="1460">
        <f>((E31*'Equipment Results Matrix'!$R$356)+(F31*'Equipment Results Matrix'!$R$357)+($D$31*'Equipment Results Matrix'!$R$358)+'Equipment Results Matrix'!$R$360+'Equipment Results Matrix'!$T$363)*(1+'Equipment Results Matrix'!$T$365)+$S$16</f>
        <v>2236.0725473404523</v>
      </c>
      <c r="I31" s="130">
        <f>H31*Inflation!$D$3</f>
        <v>2410.919034369485</v>
      </c>
      <c r="J31" s="350">
        <f t="shared" ref="J31:J42" si="2">H31-$B$31</f>
        <v>1275.4154199334121</v>
      </c>
      <c r="K31" s="131">
        <f t="shared" ref="K31:K42" si="3">I31-$C$31</f>
        <v>1375.1447001588012</v>
      </c>
      <c r="L31" s="1820">
        <f>AVERAGE(K31:K33)</f>
        <v>1821.8954263166154</v>
      </c>
      <c r="N31" s="9">
        <f>(K31+K34+K37+K40)/4</f>
        <v>1456.279035572848</v>
      </c>
      <c r="O31" s="9">
        <f>(K32+K35+K38+K41)/4</f>
        <v>2371.805026401054</v>
      </c>
    </row>
    <row r="32" spans="1:15">
      <c r="A32" s="1828"/>
      <c r="B32" s="1838"/>
      <c r="C32" s="1832"/>
      <c r="D32" s="132">
        <v>2.2000000000000002</v>
      </c>
      <c r="E32" s="97">
        <v>60</v>
      </c>
      <c r="F32" s="19">
        <v>3</v>
      </c>
      <c r="G32" s="97" t="s">
        <v>64</v>
      </c>
      <c r="H32" s="1461">
        <f>((E32*'Equipment Results Matrix'!$R$356)+(F32*'Equipment Results Matrix'!$R$357)+($D$32*'Equipment Results Matrix'!$R$358)+'Equipment Results Matrix'!$R$360+'Equipment Results Matrix'!$T$363)*(1+'Equipment Results Matrix'!$T$365)+$S$16</f>
        <v>2590.4542473404517</v>
      </c>
      <c r="I32" s="3">
        <f>H32*Inflation!$D$3</f>
        <v>2793.0111033313829</v>
      </c>
      <c r="J32" s="9">
        <f t="shared" si="2"/>
        <v>1629.7971199334115</v>
      </c>
      <c r="K32" s="9">
        <f t="shared" si="3"/>
        <v>1757.2367691206991</v>
      </c>
      <c r="L32" s="1821"/>
    </row>
    <row r="33" spans="1:12" ht="15" thickBot="1">
      <c r="A33" s="1828"/>
      <c r="B33" s="1838"/>
      <c r="C33" s="1832"/>
      <c r="D33" s="133">
        <v>2.2000000000000002</v>
      </c>
      <c r="E33" s="134">
        <v>80</v>
      </c>
      <c r="F33" s="135">
        <v>3</v>
      </c>
      <c r="G33" s="134" t="s">
        <v>64</v>
      </c>
      <c r="H33" s="1462">
        <f>((E33*'Equipment Results Matrix'!$R$356)+(F33*'Equipment Results Matrix'!$R$357)+($D$33*'Equipment Results Matrix'!$R$358)+'Equipment Results Matrix'!$R$360+'Equipment Results Matrix'!$T$363)*(1+'Equipment Results Matrix'!$T$365)+$S$16</f>
        <v>3124.7442473404517</v>
      </c>
      <c r="I33" s="136">
        <f>H33*Inflation!$D$3</f>
        <v>3369.0791438810302</v>
      </c>
      <c r="J33" s="351">
        <f t="shared" si="2"/>
        <v>2164.0871199334115</v>
      </c>
      <c r="K33" s="137">
        <f t="shared" si="3"/>
        <v>2333.3048096703465</v>
      </c>
      <c r="L33" s="1822"/>
    </row>
    <row r="34" spans="1:12">
      <c r="A34" s="1828"/>
      <c r="B34" s="1838"/>
      <c r="C34" s="1832"/>
      <c r="D34" s="126">
        <v>2</v>
      </c>
      <c r="E34" s="127">
        <v>40</v>
      </c>
      <c r="F34" s="128">
        <v>4</v>
      </c>
      <c r="G34" s="129" t="s">
        <v>64</v>
      </c>
      <c r="H34" s="1460">
        <f>((E34*'Equipment Results Matrix'!$R$356)+(F34*'Equipment Results Matrix'!$R$357)+($D$34*'Equipment Results Matrix'!$R$358)+'Equipment Results Matrix'!$R$360+'Equipment Results Matrix'!$T$363)*(1+'Equipment Results Matrix'!$T$365)+$S$16</f>
        <v>1971.0205473404521</v>
      </c>
      <c r="I34" s="130">
        <f>H34*Inflation!$D$3</f>
        <v>2125.1416732289713</v>
      </c>
      <c r="J34" s="131">
        <f t="shared" si="2"/>
        <v>1010.3634199334119</v>
      </c>
      <c r="K34" s="131">
        <f t="shared" si="3"/>
        <v>1089.3673390182876</v>
      </c>
      <c r="L34" s="1820">
        <f>AVERAGE(K34:K36)</f>
        <v>2247.3632943311791</v>
      </c>
    </row>
    <row r="35" spans="1:12">
      <c r="A35" s="1828"/>
      <c r="B35" s="1838"/>
      <c r="C35" s="1832"/>
      <c r="D35" s="132">
        <v>2.2000000000000002</v>
      </c>
      <c r="E35" s="97">
        <v>60</v>
      </c>
      <c r="F35" s="19">
        <v>4</v>
      </c>
      <c r="G35" s="97" t="s">
        <v>64</v>
      </c>
      <c r="H35" s="1461">
        <f>((E35*'Equipment Results Matrix'!$R$356)+(F35*'Equipment Results Matrix'!$R$357)+($P$35*'Equipment Results Matrix'!$R$358)+'Equipment Results Matrix'!$R$360+'Equipment Results Matrix'!$T$363)*(1+'Equipment Results Matrix'!$T$365)+$S$16</f>
        <v>4304.3935473404517</v>
      </c>
      <c r="I35" s="3">
        <f>H35*Inflation!$D$3</f>
        <v>4640.9694296561011</v>
      </c>
      <c r="J35" s="57">
        <f t="shared" si="2"/>
        <v>3343.7364199334115</v>
      </c>
      <c r="K35" s="9">
        <f t="shared" si="3"/>
        <v>3605.1950954454173</v>
      </c>
      <c r="L35" s="1821"/>
    </row>
    <row r="36" spans="1:12" ht="15" thickBot="1">
      <c r="A36" s="1828"/>
      <c r="B36" s="1838"/>
      <c r="C36" s="1832"/>
      <c r="D36" s="133">
        <v>2.2000000000000002</v>
      </c>
      <c r="E36" s="134">
        <v>80</v>
      </c>
      <c r="F36" s="135">
        <v>4</v>
      </c>
      <c r="G36" s="134" t="s">
        <v>64</v>
      </c>
      <c r="H36" s="1462">
        <f>((E36*'Equipment Results Matrix'!$R$356)+(F36*'Equipment Results Matrix'!$R$357)+($D$36*'Equipment Results Matrix'!$R$358)+'Equipment Results Matrix'!$R$360+'Equipment Results Matrix'!$T$363)*(1+'Equipment Results Matrix'!$T$365)+$S$16</f>
        <v>2859.692247340452</v>
      </c>
      <c r="I36" s="136">
        <f>H36*Inflation!$D$3</f>
        <v>3083.3017827405165</v>
      </c>
      <c r="J36" s="351">
        <f t="shared" si="2"/>
        <v>1899.0351199334118</v>
      </c>
      <c r="K36" s="137">
        <f t="shared" si="3"/>
        <v>2047.5274485298328</v>
      </c>
      <c r="L36" s="1822"/>
    </row>
    <row r="37" spans="1:12">
      <c r="A37" s="1828"/>
      <c r="B37" s="1838"/>
      <c r="C37" s="1832"/>
      <c r="D37" s="126">
        <v>2</v>
      </c>
      <c r="E37" s="127">
        <v>40</v>
      </c>
      <c r="F37" s="128">
        <v>3</v>
      </c>
      <c r="G37" s="129" t="s">
        <v>65</v>
      </c>
      <c r="H37" s="1460">
        <f>((E37*'Equipment Results Matrix'!$R$356)+(F37*'Equipment Results Matrix'!$R$357)+($D$37*'Equipment Results Matrix'!$R$358)+'Equipment Results Matrix'!$R$360+'Equipment Results Matrix'!$T$363+'Equipment Results Matrix'!$R$359)*(1+'Equipment Results Matrix'!$T$365)+$S$16</f>
        <v>2651.6250473404521</v>
      </c>
      <c r="I37" s="130">
        <f>H37*Inflation!$D$3</f>
        <v>2858.9650663380921</v>
      </c>
      <c r="J37" s="350">
        <f t="shared" si="2"/>
        <v>1690.9679199334118</v>
      </c>
      <c r="K37" s="131">
        <f t="shared" si="3"/>
        <v>1823.1907321274084</v>
      </c>
      <c r="L37" s="1820">
        <f>AVERAGE(K37:K39)</f>
        <v>2269.9414582852228</v>
      </c>
    </row>
    <row r="38" spans="1:12">
      <c r="A38" s="1828"/>
      <c r="B38" s="1838"/>
      <c r="C38" s="1832"/>
      <c r="D38" s="132">
        <v>2.2000000000000002</v>
      </c>
      <c r="E38" s="97">
        <v>60</v>
      </c>
      <c r="F38" s="19">
        <v>3</v>
      </c>
      <c r="G38" s="97" t="s">
        <v>65</v>
      </c>
      <c r="H38" s="1461">
        <f>((E38*'Equipment Results Matrix'!$R$356)+(F38*'Equipment Results Matrix'!$R$357)+($D$38*'Equipment Results Matrix'!$R$358)+'Equipment Results Matrix'!$R$360+'Equipment Results Matrix'!$T$363+'Equipment Results Matrix'!$R$359)*(1+'Equipment Results Matrix'!$T$365)+$S$16</f>
        <v>3006.0067473404515</v>
      </c>
      <c r="I38" s="3">
        <f>H38*Inflation!$D$3</f>
        <v>3241.05713529999</v>
      </c>
      <c r="J38" s="57">
        <f t="shared" si="2"/>
        <v>2045.3496199334113</v>
      </c>
      <c r="K38" s="9">
        <f t="shared" si="3"/>
        <v>2205.2828010893063</v>
      </c>
      <c r="L38" s="1821"/>
    </row>
    <row r="39" spans="1:12" ht="15" customHeight="1" thickBot="1">
      <c r="A39" s="1828"/>
      <c r="B39" s="1838"/>
      <c r="C39" s="1832"/>
      <c r="D39" s="133">
        <v>2.2000000000000002</v>
      </c>
      <c r="E39" s="134">
        <v>80</v>
      </c>
      <c r="F39" s="135">
        <v>3</v>
      </c>
      <c r="G39" s="134" t="s">
        <v>65</v>
      </c>
      <c r="H39" s="1462">
        <f>((E39*'Equipment Results Matrix'!$R$356)+(F39*'Equipment Results Matrix'!$R$357)+($D$39*'Equipment Results Matrix'!$R$358)+'Equipment Results Matrix'!$R$360+'Equipment Results Matrix'!$T$363+'Equipment Results Matrix'!$R$359)*(1+'Equipment Results Matrix'!$T$365)+$S$16</f>
        <v>3540.2967473404519</v>
      </c>
      <c r="I39" s="136">
        <f>H39*Inflation!$D$3</f>
        <v>3817.1251758496373</v>
      </c>
      <c r="J39" s="351">
        <f t="shared" si="2"/>
        <v>2579.6396199334117</v>
      </c>
      <c r="K39" s="137">
        <f t="shared" si="3"/>
        <v>2781.3508416389536</v>
      </c>
      <c r="L39" s="1822"/>
    </row>
    <row r="40" spans="1:12">
      <c r="A40" s="1828"/>
      <c r="B40" s="1838"/>
      <c r="C40" s="1832"/>
      <c r="D40" s="126">
        <v>2</v>
      </c>
      <c r="E40" s="127">
        <v>40</v>
      </c>
      <c r="F40" s="128">
        <v>4</v>
      </c>
      <c r="G40" s="129" t="s">
        <v>65</v>
      </c>
      <c r="H40" s="1460">
        <f>((E40*'Equipment Results Matrix'!$R$356)+(F40*'Equipment Results Matrix'!$R$357)+($D$40*'Equipment Results Matrix'!$R$358)+'Equipment Results Matrix'!$R$360+'Equipment Results Matrix'!$T$363+'Equipment Results Matrix'!$R$359)*(1+'Equipment Results Matrix'!$T$365)+$S$16</f>
        <v>2386.5730473404519</v>
      </c>
      <c r="I40" s="130">
        <f>H40*Inflation!$D$3</f>
        <v>2573.187705197578</v>
      </c>
      <c r="J40" s="350">
        <f t="shared" si="2"/>
        <v>1425.9159199334117</v>
      </c>
      <c r="K40" s="131">
        <f t="shared" si="3"/>
        <v>1537.4133709868943</v>
      </c>
      <c r="L40" s="1820">
        <f>AVERAGE(K40:K42)</f>
        <v>1984.1640971447089</v>
      </c>
    </row>
    <row r="41" spans="1:12">
      <c r="A41" s="1828"/>
      <c r="B41" s="1838"/>
      <c r="C41" s="1832"/>
      <c r="D41" s="132">
        <v>2.2000000000000002</v>
      </c>
      <c r="E41" s="97">
        <v>60</v>
      </c>
      <c r="F41" s="19">
        <v>4</v>
      </c>
      <c r="G41" s="97" t="s">
        <v>65</v>
      </c>
      <c r="H41" s="1461">
        <f>((E41*'Equipment Results Matrix'!$R$356)+(F41*'Equipment Results Matrix'!$R$357)+($D$41*'Equipment Results Matrix'!$R$358)+'Equipment Results Matrix'!$R$360+'Equipment Results Matrix'!$T$363+'Equipment Results Matrix'!$R$359)*(1+'Equipment Results Matrix'!$T$365)+$S$16</f>
        <v>2740.9547473404514</v>
      </c>
      <c r="I41" s="3">
        <f>H41*Inflation!$D$3</f>
        <v>2955.2797741594763</v>
      </c>
      <c r="J41" s="57">
        <f t="shared" si="2"/>
        <v>1780.2976199334112</v>
      </c>
      <c r="K41" s="9">
        <f t="shared" si="3"/>
        <v>1919.5054399487926</v>
      </c>
      <c r="L41" s="1821"/>
    </row>
    <row r="42" spans="1:12" ht="15" thickBot="1">
      <c r="A42" s="1829"/>
      <c r="B42" s="1839"/>
      <c r="C42" s="1833"/>
      <c r="D42" s="133">
        <v>2.2000000000000002</v>
      </c>
      <c r="E42" s="134">
        <v>80</v>
      </c>
      <c r="F42" s="135">
        <v>4</v>
      </c>
      <c r="G42" s="134" t="s">
        <v>65</v>
      </c>
      <c r="H42" s="1462">
        <f>((E42*'Equipment Results Matrix'!$R$356)+(F42*'Equipment Results Matrix'!$R$357)+($D$42*'Equipment Results Matrix'!$R$358)+'Equipment Results Matrix'!$R$360+'Equipment Results Matrix'!$T$363+'Equipment Results Matrix'!$R$359)*(1+'Equipment Results Matrix'!$T$365)+$S$16</f>
        <v>3275.2447473404518</v>
      </c>
      <c r="I42" s="136">
        <f>H42*Inflation!$D$3</f>
        <v>3531.3478147091237</v>
      </c>
      <c r="J42" s="351">
        <f t="shared" si="2"/>
        <v>2314.5876199334116</v>
      </c>
      <c r="K42" s="137">
        <f t="shared" si="3"/>
        <v>2495.5734804984399</v>
      </c>
      <c r="L42" s="1822"/>
    </row>
  </sheetData>
  <mergeCells count="29">
    <mergeCell ref="G5:G6"/>
    <mergeCell ref="A2:I2"/>
    <mergeCell ref="Q13:T13"/>
    <mergeCell ref="C3:G3"/>
    <mergeCell ref="H3:I3"/>
    <mergeCell ref="C5:C6"/>
    <mergeCell ref="D5:D6"/>
    <mergeCell ref="A10:L11"/>
    <mergeCell ref="A28:L28"/>
    <mergeCell ref="A29:C29"/>
    <mergeCell ref="D29:I29"/>
    <mergeCell ref="J29:L29"/>
    <mergeCell ref="A31:A42"/>
    <mergeCell ref="B31:B42"/>
    <mergeCell ref="C31:C42"/>
    <mergeCell ref="L31:L33"/>
    <mergeCell ref="L34:L36"/>
    <mergeCell ref="L37:L39"/>
    <mergeCell ref="L40:L42"/>
    <mergeCell ref="L17:L19"/>
    <mergeCell ref="L20:L22"/>
    <mergeCell ref="L23:L25"/>
    <mergeCell ref="A12:C12"/>
    <mergeCell ref="D12:I12"/>
    <mergeCell ref="J12:L12"/>
    <mergeCell ref="A14:A25"/>
    <mergeCell ref="B14:B25"/>
    <mergeCell ref="C14:C25"/>
    <mergeCell ref="L14:L16"/>
  </mergeCells>
  <hyperlinks>
    <hyperlink ref="N19" location="'Master Summary'!A1" display="Return To Master Summary"/>
    <hyperlink ref="A8" location="'Master Summary'!A1" display="Return To Master Summary"/>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249977111117893"/>
  </sheetPr>
  <dimension ref="A1:AN53"/>
  <sheetViews>
    <sheetView zoomScale="70" zoomScaleNormal="70" workbookViewId="0">
      <selection activeCell="A13" sqref="A13"/>
    </sheetView>
  </sheetViews>
  <sheetFormatPr defaultRowHeight="14.4"/>
  <cols>
    <col min="1" max="1" width="74.5546875" customWidth="1"/>
    <col min="2" max="2" width="25" customWidth="1"/>
    <col min="3" max="3" width="23.88671875" customWidth="1"/>
    <col min="4" max="5" width="20.109375" customWidth="1"/>
    <col min="6" max="6" width="23.88671875" customWidth="1"/>
    <col min="7" max="7" width="22.33203125" customWidth="1"/>
    <col min="8" max="8" width="19.109375" customWidth="1"/>
    <col min="9" max="9" width="19.33203125" customWidth="1"/>
    <col min="10" max="10" width="23.5546875" customWidth="1"/>
    <col min="11" max="11" width="22.44140625" customWidth="1"/>
    <col min="12" max="12" width="23.88671875" customWidth="1"/>
    <col min="13" max="13" width="23.109375" customWidth="1"/>
    <col min="14" max="14" width="29.88671875" customWidth="1"/>
    <col min="15" max="15" width="15.5546875" customWidth="1"/>
    <col min="16" max="16" width="18.109375" customWidth="1"/>
    <col min="17" max="17" width="15.33203125" customWidth="1"/>
    <col min="18" max="18" width="14.33203125" customWidth="1"/>
    <col min="19" max="19" width="14.44140625" customWidth="1"/>
    <col min="20" max="20" width="19.109375" customWidth="1"/>
    <col min="21" max="21" width="20.33203125" customWidth="1"/>
    <col min="22" max="22" width="14.44140625" customWidth="1"/>
    <col min="23" max="23" width="14.6640625" customWidth="1"/>
    <col min="24" max="24" width="16.44140625" customWidth="1"/>
    <col min="25" max="25" width="14.33203125" customWidth="1"/>
    <col min="26" max="26" width="11.88671875" customWidth="1"/>
    <col min="27" max="27" width="18.44140625" customWidth="1"/>
  </cols>
  <sheetData>
    <row r="1" spans="1:40" s="95" customFormat="1" ht="15" thickBot="1"/>
    <row r="2" spans="1:40" s="95" customFormat="1" ht="18.600000000000001" thickBot="1">
      <c r="A2" s="1942" t="s">
        <v>718</v>
      </c>
      <c r="B2" s="1943"/>
      <c r="C2" s="1943"/>
      <c r="D2" s="1943"/>
      <c r="E2" s="1943"/>
      <c r="F2" s="1943"/>
      <c r="G2" s="1943"/>
      <c r="H2" s="1943"/>
      <c r="I2" s="1943"/>
      <c r="J2" s="1943"/>
      <c r="K2" s="1943"/>
      <c r="L2" s="1944"/>
      <c r="M2" s="1940" t="s">
        <v>648</v>
      </c>
      <c r="N2" s="1940"/>
      <c r="O2" s="1940"/>
      <c r="P2" s="1940"/>
      <c r="Q2" s="1941"/>
    </row>
    <row r="3" spans="1:40" ht="40.5" customHeight="1">
      <c r="A3" s="1932" t="s">
        <v>699</v>
      </c>
      <c r="B3" s="1945" t="s">
        <v>700</v>
      </c>
      <c r="C3" s="1946"/>
      <c r="D3" s="1946"/>
      <c r="E3" s="1947"/>
      <c r="F3" s="1621"/>
      <c r="G3" s="1939" t="s">
        <v>184</v>
      </c>
      <c r="H3" s="1940"/>
      <c r="I3" s="1941"/>
      <c r="J3" s="1936" t="s">
        <v>303</v>
      </c>
      <c r="K3" s="1937"/>
      <c r="L3" s="1938"/>
      <c r="M3" s="1934" t="s">
        <v>647</v>
      </c>
      <c r="N3" s="1934"/>
      <c r="O3" s="1934"/>
      <c r="P3" s="1934"/>
      <c r="Q3" s="1935"/>
    </row>
    <row r="4" spans="1:40" ht="58.5" customHeight="1">
      <c r="A4" s="1933"/>
      <c r="B4" s="1610" t="s">
        <v>710</v>
      </c>
      <c r="C4" s="319" t="s">
        <v>709</v>
      </c>
      <c r="D4" s="320" t="s">
        <v>708</v>
      </c>
      <c r="E4" s="1611" t="s">
        <v>1867</v>
      </c>
      <c r="F4" s="1622" t="s">
        <v>240</v>
      </c>
      <c r="G4" s="1610" t="s">
        <v>702</v>
      </c>
      <c r="H4" s="319" t="s">
        <v>703</v>
      </c>
      <c r="I4" s="323" t="s">
        <v>1868</v>
      </c>
      <c r="J4" s="1610" t="s">
        <v>704</v>
      </c>
      <c r="K4" s="321" t="s">
        <v>705</v>
      </c>
      <c r="L4" s="323" t="s">
        <v>1869</v>
      </c>
      <c r="M4" s="1606" t="s">
        <v>706</v>
      </c>
      <c r="N4" s="322" t="s">
        <v>707</v>
      </c>
      <c r="O4" s="319" t="s">
        <v>711</v>
      </c>
      <c r="P4" s="319" t="s">
        <v>712</v>
      </c>
      <c r="Q4" s="323" t="s">
        <v>713</v>
      </c>
    </row>
    <row r="5" spans="1:40" ht="15" customHeight="1">
      <c r="A5" s="279" t="s">
        <v>76</v>
      </c>
      <c r="B5" s="1612" t="str">
        <f>C30</f>
        <v>NA</v>
      </c>
      <c r="C5" s="1574" t="str">
        <f>E30</f>
        <v>NA</v>
      </c>
      <c r="D5" s="1574" t="str">
        <f>H30</f>
        <v>NA</v>
      </c>
      <c r="E5" s="1613" t="str">
        <f>I30</f>
        <v>NA</v>
      </c>
      <c r="F5" s="1922" t="s">
        <v>716</v>
      </c>
      <c r="G5" s="1617" t="str">
        <f t="shared" ref="G5:G11" si="0">N30</f>
        <v>NA</v>
      </c>
      <c r="H5" s="269" t="str">
        <f t="shared" ref="H5:H11" si="1">Q30</f>
        <v>NA</v>
      </c>
      <c r="I5" s="1618"/>
      <c r="J5" s="1617" t="str">
        <f>L44</f>
        <v>NA</v>
      </c>
      <c r="K5" s="318" t="str">
        <f>O44</f>
        <v>NA</v>
      </c>
      <c r="L5" s="1607" t="str">
        <f>P44</f>
        <v>NA</v>
      </c>
      <c r="M5" s="1930">
        <v>26</v>
      </c>
      <c r="N5" s="1924">
        <v>140</v>
      </c>
      <c r="O5" s="1928">
        <v>748</v>
      </c>
      <c r="P5" s="1928">
        <v>862</v>
      </c>
      <c r="Q5" s="1926">
        <v>722</v>
      </c>
    </row>
    <row r="6" spans="1:40" ht="30" customHeight="1">
      <c r="A6" s="279" t="s">
        <v>79</v>
      </c>
      <c r="B6" s="1612" t="str">
        <f t="shared" ref="B6:B11" si="2">C31</f>
        <v>NA</v>
      </c>
      <c r="C6" s="1574" t="str">
        <f t="shared" ref="C6:C11" si="3">E31</f>
        <v>NA</v>
      </c>
      <c r="D6" s="1574" t="str">
        <f>H31</f>
        <v>NA</v>
      </c>
      <c r="E6" s="1613" t="str">
        <f>I31</f>
        <v>NA</v>
      </c>
      <c r="F6" s="1922"/>
      <c r="G6" s="1617" t="str">
        <f t="shared" si="0"/>
        <v>NA</v>
      </c>
      <c r="H6" s="269" t="str">
        <f t="shared" si="1"/>
        <v>NA</v>
      </c>
      <c r="I6" s="1618"/>
      <c r="J6" s="1617" t="str">
        <f t="shared" ref="J6:J11" si="4">L45</f>
        <v>NA</v>
      </c>
      <c r="K6" s="318" t="str">
        <f t="shared" ref="K6:L11" si="5">O45</f>
        <v>NA</v>
      </c>
      <c r="L6" s="1607" t="str">
        <f t="shared" si="5"/>
        <v>NA</v>
      </c>
      <c r="M6" s="1930"/>
      <c r="N6" s="1924"/>
      <c r="O6" s="1928"/>
      <c r="P6" s="1928"/>
      <c r="Q6" s="1926"/>
    </row>
    <row r="7" spans="1:40" ht="30" customHeight="1">
      <c r="A7" s="279" t="s">
        <v>82</v>
      </c>
      <c r="B7" s="1612">
        <f t="shared" si="2"/>
        <v>720.62315544332625</v>
      </c>
      <c r="C7" s="1575">
        <f t="shared" si="3"/>
        <v>837.94662124254319</v>
      </c>
      <c r="D7" s="1575">
        <f>H32</f>
        <v>861.55350495262257</v>
      </c>
      <c r="E7" s="1614">
        <f>K32</f>
        <v>872.61021555072557</v>
      </c>
      <c r="F7" s="1922"/>
      <c r="G7" s="1619">
        <f t="shared" si="0"/>
        <v>9.5632480842295173</v>
      </c>
      <c r="H7" s="324">
        <f t="shared" si="1"/>
        <v>33.170131794308908</v>
      </c>
      <c r="I7" s="1485">
        <f>T32</f>
        <v>44.226842392411882</v>
      </c>
      <c r="J7" s="1619">
        <f t="shared" si="4"/>
        <v>340.97733404008687</v>
      </c>
      <c r="K7" s="325">
        <f t="shared" si="5"/>
        <v>364.58421775016626</v>
      </c>
      <c r="L7" s="1608">
        <f>R46</f>
        <v>375.6409283482692</v>
      </c>
      <c r="M7" s="1930"/>
      <c r="N7" s="1924"/>
      <c r="O7" s="1928"/>
      <c r="P7" s="1928"/>
      <c r="Q7" s="1926"/>
    </row>
    <row r="8" spans="1:40" ht="28.8">
      <c r="A8" s="279" t="s">
        <v>85</v>
      </c>
      <c r="B8" s="1612">
        <f t="shared" si="2"/>
        <v>514.11145853739026</v>
      </c>
      <c r="C8" s="1575">
        <f t="shared" si="3"/>
        <v>634.13149722791161</v>
      </c>
      <c r="D8" s="1575">
        <f>H33</f>
        <v>659.64527947035413</v>
      </c>
      <c r="E8" s="1614">
        <f t="shared" ref="E8:E11" si="6">K33</f>
        <v>672.60888860082036</v>
      </c>
      <c r="F8" s="1922"/>
      <c r="G8" s="1619">
        <f t="shared" si="0"/>
        <v>13.377045148955901</v>
      </c>
      <c r="H8" s="324">
        <f t="shared" si="1"/>
        <v>38.890827391398425</v>
      </c>
      <c r="I8" s="1485">
        <f t="shared" ref="I8:I11" si="7">T33</f>
        <v>51.854436521864649</v>
      </c>
      <c r="J8" s="1619">
        <f t="shared" si="4"/>
        <v>261.72433941491579</v>
      </c>
      <c r="K8" s="325">
        <f t="shared" si="5"/>
        <v>287.23812165735831</v>
      </c>
      <c r="L8" s="1608">
        <f t="shared" ref="L8:L10" si="8">R47</f>
        <v>300.20173078782454</v>
      </c>
      <c r="M8" s="1930"/>
      <c r="N8" s="1924"/>
      <c r="O8" s="1928"/>
      <c r="P8" s="1928"/>
      <c r="Q8" s="1926"/>
    </row>
    <row r="9" spans="1:40" ht="30" customHeight="1">
      <c r="A9" s="279" t="s">
        <v>88</v>
      </c>
      <c r="B9" s="1612">
        <f t="shared" si="2"/>
        <v>1092.0706506023644</v>
      </c>
      <c r="C9" s="1575">
        <f t="shared" si="3"/>
        <v>1212.6340665045043</v>
      </c>
      <c r="D9" s="1575">
        <f>H34</f>
        <v>1238.8511921470331</v>
      </c>
      <c r="E9" s="1614">
        <f t="shared" si="6"/>
        <v>1252.518144677585</v>
      </c>
      <c r="F9" s="1922"/>
      <c r="G9" s="1619">
        <f t="shared" si="0"/>
        <v>14.78373194912766</v>
      </c>
      <c r="H9" s="324">
        <f t="shared" si="1"/>
        <v>41.000857591656434</v>
      </c>
      <c r="I9" s="1485">
        <f t="shared" si="7"/>
        <v>54.667810122208415</v>
      </c>
      <c r="J9" s="1619">
        <f t="shared" si="4"/>
        <v>494.0116916135471</v>
      </c>
      <c r="K9" s="325">
        <f t="shared" si="5"/>
        <v>520.2288172560759</v>
      </c>
      <c r="L9" s="1608">
        <f t="shared" si="8"/>
        <v>533.89576978662785</v>
      </c>
      <c r="M9" s="1930"/>
      <c r="N9" s="1924"/>
      <c r="O9" s="1928"/>
      <c r="P9" s="1928"/>
      <c r="Q9" s="1926"/>
    </row>
    <row r="10" spans="1:40" ht="28.8">
      <c r="A10" s="279" t="s">
        <v>91</v>
      </c>
      <c r="B10" s="1612">
        <f t="shared" si="2"/>
        <v>1202.5117427103305</v>
      </c>
      <c r="C10" s="1575">
        <f t="shared" si="3"/>
        <v>1327.1200179494272</v>
      </c>
      <c r="D10" s="1575">
        <f>H35</f>
        <v>1354.78826544448</v>
      </c>
      <c r="E10" s="1614">
        <f t="shared" si="6"/>
        <v>1369.9063398275559</v>
      </c>
      <c r="F10" s="1922"/>
      <c r="G10" s="1619">
        <f t="shared" si="0"/>
        <v>17.685975654175742</v>
      </c>
      <c r="H10" s="324">
        <f t="shared" si="1"/>
        <v>45.354223149228552</v>
      </c>
      <c r="I10" s="1485">
        <f t="shared" si="7"/>
        <v>60.472297532304573</v>
      </c>
      <c r="J10" s="1619">
        <f t="shared" si="4"/>
        <v>541.55559968129694</v>
      </c>
      <c r="K10" s="325">
        <f t="shared" si="5"/>
        <v>569.22384717634975</v>
      </c>
      <c r="L10" s="1608">
        <f t="shared" si="8"/>
        <v>584.34192155942571</v>
      </c>
      <c r="M10" s="1930"/>
      <c r="N10" s="1924"/>
      <c r="O10" s="1928"/>
      <c r="P10" s="1928"/>
      <c r="Q10" s="1926"/>
    </row>
    <row r="11" spans="1:40" ht="22.5" customHeight="1" thickBot="1">
      <c r="A11" s="280" t="s">
        <v>94</v>
      </c>
      <c r="B11" s="1615">
        <f t="shared" si="2"/>
        <v>1007.5277679574285</v>
      </c>
      <c r="C11" s="1576">
        <f t="shared" si="3"/>
        <v>1134.3654132516717</v>
      </c>
      <c r="D11" s="1576">
        <f>H36</f>
        <v>1163.3260859837055</v>
      </c>
      <c r="E11" s="1616">
        <f t="shared" si="6"/>
        <v>1179.7365856037629</v>
      </c>
      <c r="F11" s="1923"/>
      <c r="G11" s="1620">
        <f t="shared" si="0"/>
        <v>20.270826128138136</v>
      </c>
      <c r="H11" s="326">
        <f t="shared" si="1"/>
        <v>49.231498860171904</v>
      </c>
      <c r="I11" s="1486">
        <f t="shared" si="7"/>
        <v>65.641998480229361</v>
      </c>
      <c r="J11" s="1620">
        <f t="shared" si="4"/>
        <v>465.9903458864743</v>
      </c>
      <c r="K11" s="327">
        <f t="shared" si="5"/>
        <v>494.95101861850804</v>
      </c>
      <c r="L11" s="1609">
        <f>R50</f>
        <v>511.36151823856551</v>
      </c>
      <c r="M11" s="1931"/>
      <c r="N11" s="1925"/>
      <c r="O11" s="1929"/>
      <c r="P11" s="1929"/>
      <c r="Q11" s="1927"/>
      <c r="AI11" s="95"/>
      <c r="AJ11" s="95"/>
      <c r="AK11" s="95"/>
      <c r="AL11" s="95"/>
      <c r="AM11" s="95"/>
      <c r="AN11" s="95"/>
    </row>
    <row r="13" spans="1:40" s="95" customFormat="1" ht="21">
      <c r="A13" s="184" t="s">
        <v>634</v>
      </c>
    </row>
    <row r="14" spans="1:40" ht="15" thickBot="1">
      <c r="D14" s="317"/>
      <c r="E14" s="317"/>
      <c r="F14" s="317"/>
    </row>
    <row r="15" spans="1:40" ht="28.5" customHeight="1" thickBot="1">
      <c r="A15" s="1857" t="s">
        <v>75</v>
      </c>
      <c r="B15" s="1870" t="s">
        <v>717</v>
      </c>
      <c r="C15" s="1871"/>
      <c r="D15" s="1871"/>
      <c r="E15" s="1871"/>
      <c r="F15" s="1871"/>
      <c r="G15" s="1871"/>
      <c r="H15" s="1871"/>
      <c r="I15" s="1871"/>
      <c r="J15" s="1871"/>
      <c r="K15" s="1871"/>
      <c r="L15" s="1871"/>
      <c r="M15" s="1871"/>
      <c r="N15" s="1871"/>
      <c r="O15" s="1872"/>
      <c r="P15" s="1902" t="s">
        <v>693</v>
      </c>
      <c r="Q15" s="1903"/>
      <c r="R15" s="1903"/>
      <c r="S15" s="1903"/>
      <c r="T15" s="1903"/>
      <c r="U15" s="1903"/>
      <c r="V15" s="1903"/>
      <c r="W15" s="1903"/>
      <c r="X15" s="1903"/>
      <c r="Y15" s="1903"/>
      <c r="Z15" s="1903"/>
      <c r="AA15" s="1904"/>
      <c r="AB15" s="1882" t="s">
        <v>635</v>
      </c>
      <c r="AC15" s="1883"/>
      <c r="AD15" s="1883"/>
      <c r="AE15" s="1883"/>
      <c r="AF15" s="1883"/>
      <c r="AG15" s="1883"/>
      <c r="AH15" s="1883"/>
      <c r="AI15" s="1883"/>
      <c r="AJ15" s="1884"/>
    </row>
    <row r="16" spans="1:40" ht="45.75" customHeight="1">
      <c r="A16" s="1858"/>
      <c r="B16" s="1873" t="s">
        <v>719</v>
      </c>
      <c r="C16" s="1875" t="s">
        <v>689</v>
      </c>
      <c r="D16" s="1877" t="s">
        <v>714</v>
      </c>
      <c r="E16" s="1878"/>
      <c r="F16" s="1878"/>
      <c r="G16" s="1859" t="s">
        <v>690</v>
      </c>
      <c r="H16" s="1860"/>
      <c r="I16" s="1860"/>
      <c r="J16" s="1861" t="s">
        <v>1870</v>
      </c>
      <c r="K16" s="1862"/>
      <c r="L16" s="1863"/>
      <c r="M16" s="1861" t="s">
        <v>1871</v>
      </c>
      <c r="N16" s="1862"/>
      <c r="O16" s="1905"/>
      <c r="P16" s="1865" t="s">
        <v>44</v>
      </c>
      <c r="Q16" s="1865"/>
      <c r="R16" s="1866"/>
      <c r="S16" s="1867" t="s">
        <v>691</v>
      </c>
      <c r="T16" s="1868"/>
      <c r="U16" s="1869"/>
      <c r="V16" s="1867" t="s">
        <v>692</v>
      </c>
      <c r="W16" s="1868"/>
      <c r="X16" s="1869"/>
      <c r="Y16" s="1867" t="s">
        <v>1872</v>
      </c>
      <c r="Z16" s="1868"/>
      <c r="AA16" s="1869"/>
      <c r="AB16" s="1899" t="s">
        <v>694</v>
      </c>
      <c r="AC16" s="1900"/>
      <c r="AD16" s="1901"/>
      <c r="AE16" s="1899" t="s">
        <v>695</v>
      </c>
      <c r="AF16" s="1900"/>
      <c r="AG16" s="1901"/>
      <c r="AH16" s="1899" t="s">
        <v>1873</v>
      </c>
      <c r="AI16" s="1900"/>
      <c r="AJ16" s="1901"/>
    </row>
    <row r="17" spans="1:36" s="85" customFormat="1" ht="34.5" customHeight="1">
      <c r="A17" s="1858"/>
      <c r="B17" s="1874"/>
      <c r="C17" s="1876"/>
      <c r="D17" s="314" t="s">
        <v>701</v>
      </c>
      <c r="E17" s="315" t="s">
        <v>98</v>
      </c>
      <c r="F17" s="383" t="s">
        <v>97</v>
      </c>
      <c r="G17" s="1600" t="s">
        <v>701</v>
      </c>
      <c r="H17" s="1601" t="s">
        <v>98</v>
      </c>
      <c r="I17" s="1603" t="s">
        <v>97</v>
      </c>
      <c r="J17" s="1571" t="s">
        <v>701</v>
      </c>
      <c r="K17" s="1572" t="s">
        <v>98</v>
      </c>
      <c r="L17" s="383" t="s">
        <v>97</v>
      </c>
      <c r="M17" s="1571" t="s">
        <v>701</v>
      </c>
      <c r="N17" s="1572" t="s">
        <v>98</v>
      </c>
      <c r="O17" s="1573" t="s">
        <v>97</v>
      </c>
      <c r="P17" s="1602" t="s">
        <v>701</v>
      </c>
      <c r="Q17" s="315" t="s">
        <v>98</v>
      </c>
      <c r="R17" s="316" t="s">
        <v>97</v>
      </c>
      <c r="S17" s="314" t="s">
        <v>701</v>
      </c>
      <c r="T17" s="315" t="s">
        <v>98</v>
      </c>
      <c r="U17" s="316" t="s">
        <v>97</v>
      </c>
      <c r="V17" s="314" t="s">
        <v>701</v>
      </c>
      <c r="W17" s="315" t="s">
        <v>98</v>
      </c>
      <c r="X17" s="316" t="s">
        <v>97</v>
      </c>
      <c r="Y17" s="1571" t="s">
        <v>701</v>
      </c>
      <c r="Z17" s="1572" t="s">
        <v>98</v>
      </c>
      <c r="AA17" s="1573" t="s">
        <v>97</v>
      </c>
      <c r="AB17" s="1571" t="s">
        <v>701</v>
      </c>
      <c r="AC17" s="1572" t="s">
        <v>98</v>
      </c>
      <c r="AD17" s="1573" t="s">
        <v>97</v>
      </c>
      <c r="AE17" s="1571" t="s">
        <v>701</v>
      </c>
      <c r="AF17" s="1572" t="s">
        <v>98</v>
      </c>
      <c r="AG17" s="1573" t="s">
        <v>97</v>
      </c>
      <c r="AH17" s="1571" t="s">
        <v>701</v>
      </c>
      <c r="AI17" s="1572" t="s">
        <v>98</v>
      </c>
      <c r="AJ17" s="1573" t="s">
        <v>97</v>
      </c>
    </row>
    <row r="18" spans="1:36">
      <c r="A18" s="279" t="s">
        <v>76</v>
      </c>
      <c r="B18" s="274" t="s">
        <v>77</v>
      </c>
      <c r="C18" s="275" t="s">
        <v>78</v>
      </c>
      <c r="D18" s="310">
        <f>6.79*(25)+193.6</f>
        <v>363.35</v>
      </c>
      <c r="E18" s="311">
        <f>6.79*(20)+193.6</f>
        <v>329.4</v>
      </c>
      <c r="F18" s="1598">
        <f>6.79*(30)+193.6</f>
        <v>397.29999999999995</v>
      </c>
      <c r="G18" s="304">
        <f>D18-(D18*0.1)</f>
        <v>327.01500000000004</v>
      </c>
      <c r="H18" s="305">
        <f t="shared" ref="H18:I18" si="9">E18-(E18*0.1)</f>
        <v>296.45999999999998</v>
      </c>
      <c r="I18" s="1604">
        <f t="shared" si="9"/>
        <v>357.56999999999994</v>
      </c>
      <c r="J18" s="304">
        <f>D18-(D18*0.15)</f>
        <v>308.84750000000003</v>
      </c>
      <c r="K18" s="305">
        <f t="shared" ref="K18:L18" si="10">E18-(E18*0.15)</f>
        <v>279.99</v>
      </c>
      <c r="L18" s="1604">
        <f t="shared" si="10"/>
        <v>337.70499999999998</v>
      </c>
      <c r="M18" s="304">
        <f>D18-(D18*0.2)</f>
        <v>290.68</v>
      </c>
      <c r="N18" s="305">
        <f t="shared" ref="N18:O18" si="11">E18-(E18*0.2)</f>
        <v>263.52</v>
      </c>
      <c r="O18" s="306">
        <f t="shared" si="11"/>
        <v>317.83999999999997</v>
      </c>
      <c r="P18" s="281" t="s">
        <v>22</v>
      </c>
      <c r="Q18" s="73" t="s">
        <v>22</v>
      </c>
      <c r="R18" s="291" t="s">
        <v>22</v>
      </c>
      <c r="S18" s="283" t="s">
        <v>22</v>
      </c>
      <c r="T18" s="72" t="s">
        <v>22</v>
      </c>
      <c r="U18" s="284" t="s">
        <v>22</v>
      </c>
      <c r="V18" s="290" t="s">
        <v>22</v>
      </c>
      <c r="W18" s="72" t="s">
        <v>22</v>
      </c>
      <c r="X18" s="284" t="s">
        <v>22</v>
      </c>
      <c r="Y18" s="290" t="s">
        <v>22</v>
      </c>
      <c r="Z18" s="72" t="s">
        <v>22</v>
      </c>
      <c r="AA18" s="284" t="s">
        <v>22</v>
      </c>
      <c r="AB18" s="292" t="s">
        <v>22</v>
      </c>
      <c r="AC18" s="30" t="s">
        <v>22</v>
      </c>
      <c r="AD18" s="293" t="s">
        <v>22</v>
      </c>
      <c r="AE18" s="272" t="s">
        <v>22</v>
      </c>
      <c r="AF18" s="226" t="s">
        <v>22</v>
      </c>
      <c r="AG18" s="273" t="s">
        <v>22</v>
      </c>
      <c r="AH18" s="272" t="s">
        <v>22</v>
      </c>
      <c r="AI18" s="226" t="s">
        <v>22</v>
      </c>
      <c r="AJ18" s="273" t="s">
        <v>22</v>
      </c>
    </row>
    <row r="19" spans="1:36">
      <c r="A19" s="279" t="s">
        <v>79</v>
      </c>
      <c r="B19" s="274" t="s">
        <v>80</v>
      </c>
      <c r="C19" s="276" t="s">
        <v>81</v>
      </c>
      <c r="D19" s="310">
        <f>7.99*(25)+225</f>
        <v>424.75</v>
      </c>
      <c r="E19" s="311">
        <f>7.99*(20)+225</f>
        <v>384.8</v>
      </c>
      <c r="F19" s="1598">
        <f>7.99*(30)+225</f>
        <v>464.70000000000005</v>
      </c>
      <c r="G19" s="304">
        <f t="shared" ref="G19:G24" si="12">D19-(D19*0.1)</f>
        <v>382.27499999999998</v>
      </c>
      <c r="H19" s="305">
        <f t="shared" ref="H19:H24" si="13">E19-(E19*0.1)</f>
        <v>346.32</v>
      </c>
      <c r="I19" s="1604">
        <f t="shared" ref="I19:I24" si="14">F19-(F19*0.1)</f>
        <v>418.23</v>
      </c>
      <c r="J19" s="304">
        <f t="shared" ref="J19:J24" si="15">D19-(D19*0.15)</f>
        <v>361.03750000000002</v>
      </c>
      <c r="K19" s="305">
        <f t="shared" ref="K19:K24" si="16">E19-(E19*0.15)</f>
        <v>327.08000000000004</v>
      </c>
      <c r="L19" s="1604">
        <f t="shared" ref="L19:L24" si="17">F19-(F19*0.15)</f>
        <v>394.99500000000006</v>
      </c>
      <c r="M19" s="304">
        <f t="shared" ref="M19:M24" si="18">D19-(D19*0.2)</f>
        <v>339.8</v>
      </c>
      <c r="N19" s="305">
        <f t="shared" ref="N19:N24" si="19">E19-(E19*0.2)</f>
        <v>307.84000000000003</v>
      </c>
      <c r="O19" s="306">
        <f t="shared" ref="O19:O24" si="20">F19-(F19*0.2)</f>
        <v>371.76000000000005</v>
      </c>
      <c r="P19" s="281" t="s">
        <v>22</v>
      </c>
      <c r="Q19" s="73" t="s">
        <v>22</v>
      </c>
      <c r="R19" s="291" t="s">
        <v>22</v>
      </c>
      <c r="S19" s="283" t="s">
        <v>22</v>
      </c>
      <c r="T19" s="72" t="s">
        <v>22</v>
      </c>
      <c r="U19" s="284" t="s">
        <v>22</v>
      </c>
      <c r="V19" s="290" t="s">
        <v>22</v>
      </c>
      <c r="W19" s="72" t="s">
        <v>22</v>
      </c>
      <c r="X19" s="284" t="s">
        <v>22</v>
      </c>
      <c r="Y19" s="290" t="s">
        <v>22</v>
      </c>
      <c r="Z19" s="72" t="s">
        <v>22</v>
      </c>
      <c r="AA19" s="284" t="s">
        <v>22</v>
      </c>
      <c r="AB19" s="292" t="s">
        <v>22</v>
      </c>
      <c r="AC19" s="30" t="s">
        <v>22</v>
      </c>
      <c r="AD19" s="293" t="s">
        <v>22</v>
      </c>
      <c r="AE19" s="272" t="s">
        <v>22</v>
      </c>
      <c r="AF19" s="226" t="s">
        <v>22</v>
      </c>
      <c r="AG19" s="273" t="s">
        <v>22</v>
      </c>
      <c r="AH19" s="272" t="s">
        <v>22</v>
      </c>
      <c r="AI19" s="226" t="s">
        <v>22</v>
      </c>
      <c r="AJ19" s="273" t="s">
        <v>22</v>
      </c>
    </row>
    <row r="20" spans="1:36" ht="28.8">
      <c r="A20" s="279" t="s">
        <v>82</v>
      </c>
      <c r="B20" s="274" t="s">
        <v>83</v>
      </c>
      <c r="C20" s="276" t="s">
        <v>84</v>
      </c>
      <c r="D20" s="310">
        <f>8.07*(25)+233.7</f>
        <v>435.45</v>
      </c>
      <c r="E20" s="311">
        <f>8.07*(20)+233.7</f>
        <v>395.1</v>
      </c>
      <c r="F20" s="1598">
        <f>8.07*(30)+233.7</f>
        <v>475.8</v>
      </c>
      <c r="G20" s="304">
        <f t="shared" si="12"/>
        <v>391.90499999999997</v>
      </c>
      <c r="H20" s="305">
        <f t="shared" si="13"/>
        <v>355.59000000000003</v>
      </c>
      <c r="I20" s="1604">
        <f t="shared" si="14"/>
        <v>428.22</v>
      </c>
      <c r="J20" s="304">
        <f t="shared" si="15"/>
        <v>370.13249999999999</v>
      </c>
      <c r="K20" s="305">
        <f t="shared" si="16"/>
        <v>335.83500000000004</v>
      </c>
      <c r="L20" s="1604">
        <f t="shared" si="17"/>
        <v>404.43</v>
      </c>
      <c r="M20" s="304">
        <f t="shared" si="18"/>
        <v>348.36</v>
      </c>
      <c r="N20" s="305">
        <f t="shared" si="19"/>
        <v>316.08000000000004</v>
      </c>
      <c r="O20" s="306">
        <f t="shared" si="20"/>
        <v>380.64</v>
      </c>
      <c r="P20" s="282">
        <f>('Equipment Results Matrix'!$R$6+('Equipment Results Matrix'!$R$7*25)+'Equipment Results Matrix'!$R$9+'Equipment Results Matrix'!$R$12+'Equipment Results Matrix'!$R$16+'Equipment Results Matrix'!$R$23+('Equipment Results Matrix'!$R$24*D20)+'Equipment Results Matrix'!$T$12)</f>
        <v>768.30672991762901</v>
      </c>
      <c r="Q20" s="74">
        <f>('Equipment Results Matrix'!$R$6+('Equipment Results Matrix'!$R$7*20)+'Equipment Results Matrix'!$R$9+'Equipment Results Matrix'!$R$12+'Equipment Results Matrix'!$R$16+'Equipment Results Matrix'!$R$23+('Equipment Results Matrix'!$R$24*E20)+'Equipment Results Matrix'!$T$12)</f>
        <v>668.36157991762889</v>
      </c>
      <c r="R20" s="286">
        <f>('Equipment Results Matrix'!$R$6+('Equipment Results Matrix'!$R$7*30)+'Equipment Results Matrix'!$R$9+'Equipment Results Matrix'!$R$12+'Equipment Results Matrix'!$R$16+'Equipment Results Matrix'!$R$23+('Equipment Results Matrix'!$R$24*F20)+'Equipment Results Matrix'!$T$12)</f>
        <v>868.25187991762891</v>
      </c>
      <c r="S20" s="285">
        <f>('Equipment Results Matrix'!$R$5+('Equipment Results Matrix'!$R$7*25)+'Equipment Results Matrix'!$R$9+'Equipment Results Matrix'!$R$12+'Equipment Results Matrix'!$R$16+'Equipment Results Matrix'!$R$23+('Equipment Results Matrix'!$R$24*G20)+'Equipment Results Matrix'!$T$12)</f>
        <v>777.17642491762899</v>
      </c>
      <c r="T20" s="74">
        <f>('Equipment Results Matrix'!$R$5+('Equipment Results Matrix'!$R$7*20)+'Equipment Results Matrix'!$R$9+'Equipment Results Matrix'!$R$12+'Equipment Results Matrix'!$R$16+'Equipment Results Matrix'!$R$23+('Equipment Results Matrix'!$R$24*H20)+'Equipment Results Matrix'!$T$12)</f>
        <v>675.33078991762898</v>
      </c>
      <c r="U20" s="286">
        <f>('Equipment Results Matrix'!$R$5+('Equipment Results Matrix'!$R$7*30)+'Equipment Results Matrix'!$R$9+'Equipment Results Matrix'!$R$12+'Equipment Results Matrix'!$R$16+'Equipment Results Matrix'!$R$23+('Equipment Results Matrix'!$R$24*I20)+'Equipment Results Matrix'!$T$12)</f>
        <v>879.02205991762889</v>
      </c>
      <c r="V20" s="285">
        <f>('Equipment Results Matrix'!$R$6+('Equipment Results Matrix'!$R$7*25)+'Equipment Results Matrix'!$R$9+'Equipment Results Matrix'!$R$12+'Equipment Results Matrix'!$R$16+'Equipment Results Matrix'!$R$23+('Equipment Results Matrix'!$R$24*J20)+'Equipment Results Matrix'!$T$12)</f>
        <v>799.07127241762896</v>
      </c>
      <c r="W20" s="74">
        <f>('Equipment Results Matrix'!$R$6+('Equipment Results Matrix'!$R$7*20)+'Equipment Results Matrix'!$R$9+'Equipment Results Matrix'!$R$12+'Equipment Results Matrix'!$R$16+'Equipment Results Matrix'!$R$23+('Equipment Results Matrix'!$R$24*K20)+'Equipment Results Matrix'!$T$12)</f>
        <v>696.27539491762889</v>
      </c>
      <c r="X20" s="286">
        <f>('Equipment Results Matrix'!$R$6+('Equipment Results Matrix'!$R$7*30)+'Equipment Results Matrix'!$R$9+'Equipment Results Matrix'!$R$12+'Equipment Results Matrix'!$R$16+'Equipment Results Matrix'!$R$23+('Equipment Results Matrix'!$R$24*L20)+'Equipment Results Matrix'!$T$12)</f>
        <v>901.86714991762892</v>
      </c>
      <c r="Y20" s="285">
        <f>('Equipment Results Matrix'!$R$6+('Equipment Results Matrix'!$R$7*25)+'Equipment Results Matrix'!$R$9+'Equipment Results Matrix'!$R$12+'Equipment Results Matrix'!$R$16+'Equipment Results Matrix'!$R$23+('Equipment Results Matrix'!$R$24*M20)+'Equipment Results Matrix'!$T$12)</f>
        <v>809.32611991762894</v>
      </c>
      <c r="Z20" s="74">
        <f>('Equipment Results Matrix'!$R$6+('Equipment Results Matrix'!$R$7*20)+'Equipment Results Matrix'!$R$9+'Equipment Results Matrix'!$R$12+'Equipment Results Matrix'!$R$16+'Equipment Results Matrix'!$R$23+('Equipment Results Matrix'!$R$24*N20)+'Equipment Results Matrix'!$T$12)</f>
        <v>705.57999991762892</v>
      </c>
      <c r="AA20" s="286">
        <f>('Equipment Results Matrix'!$R$6+('Equipment Results Matrix'!$R$7*30)+'Equipment Results Matrix'!$R$9+'Equipment Results Matrix'!$R$12+'Equipment Results Matrix'!$R$16+'Equipment Results Matrix'!$R$23+('Equipment Results Matrix'!$R$24*O20)+'Equipment Results Matrix'!$T$12)</f>
        <v>913.07223991762896</v>
      </c>
      <c r="AB20" s="294">
        <f t="shared" ref="AB20:AD24" si="21">S20-P20</f>
        <v>8.8696949999999788</v>
      </c>
      <c r="AC20" s="31">
        <f t="shared" si="21"/>
        <v>6.9692100000000892</v>
      </c>
      <c r="AD20" s="295">
        <f t="shared" si="21"/>
        <v>10.770179999999982</v>
      </c>
      <c r="AE20" s="294">
        <f t="shared" ref="AE20:AG24" si="22">V20-P20</f>
        <v>30.764542499999948</v>
      </c>
      <c r="AF20" s="31">
        <f t="shared" si="22"/>
        <v>27.913815</v>
      </c>
      <c r="AG20" s="295">
        <f t="shared" si="22"/>
        <v>33.61527000000001</v>
      </c>
      <c r="AH20" s="294">
        <f>Y20-P20</f>
        <v>41.01938999999993</v>
      </c>
      <c r="AI20" s="294">
        <f t="shared" ref="AI20:AJ20" si="23">Z20-Q20</f>
        <v>37.218420000000037</v>
      </c>
      <c r="AJ20" s="294">
        <f t="shared" si="23"/>
        <v>44.820360000000051</v>
      </c>
    </row>
    <row r="21" spans="1:36" ht="28.8">
      <c r="A21" s="279" t="s">
        <v>85</v>
      </c>
      <c r="B21" s="274" t="s">
        <v>86</v>
      </c>
      <c r="C21" s="276" t="s">
        <v>87</v>
      </c>
      <c r="D21" s="310">
        <f>8.51*(25)+297.8</f>
        <v>510.55</v>
      </c>
      <c r="E21" s="311">
        <f>8.51*(20)+297.8</f>
        <v>468</v>
      </c>
      <c r="F21" s="1598">
        <f>8.51*(30)+297.8</f>
        <v>553.1</v>
      </c>
      <c r="G21" s="304">
        <f t="shared" si="12"/>
        <v>459.495</v>
      </c>
      <c r="H21" s="305">
        <f t="shared" si="13"/>
        <v>421.2</v>
      </c>
      <c r="I21" s="1604">
        <f t="shared" si="14"/>
        <v>497.79</v>
      </c>
      <c r="J21" s="304">
        <f t="shared" si="15"/>
        <v>433.96750000000003</v>
      </c>
      <c r="K21" s="305">
        <f t="shared" si="16"/>
        <v>397.8</v>
      </c>
      <c r="L21" s="1604">
        <f t="shared" si="17"/>
        <v>470.13499999999999</v>
      </c>
      <c r="M21" s="304">
        <f t="shared" si="18"/>
        <v>408.44</v>
      </c>
      <c r="N21" s="305">
        <f t="shared" si="19"/>
        <v>374.4</v>
      </c>
      <c r="O21" s="306">
        <f t="shared" si="20"/>
        <v>442.48</v>
      </c>
      <c r="P21" s="282">
        <f>('Equipment Results Matrix'!$R$6+('Equipment Results Matrix'!$R$7*25)+'Equipment Results Matrix'!$R$11+'Equipment Results Matrix'!$R$12+'Equipment Results Matrix'!$R$16+'Equipment Results Matrix'!$R$23+('Equipment Results Matrix'!$R$24*D21)+'Equipment Results Matrix'!$T$12)</f>
        <v>575.73562991762901</v>
      </c>
      <c r="Q21" s="74">
        <f>('Equipment Results Matrix'!$R$6+('Equipment Results Matrix'!$R$7*20)+'Equipment Results Matrix'!$R$11+'Equipment Results Matrix'!$R$12+'Equipment Results Matrix'!$R$16+'Equipment Results Matrix'!$R$23+('Equipment Results Matrix'!$R$24*E21)+'Equipment Results Matrix'!$T$12)</f>
        <v>476.82667991762901</v>
      </c>
      <c r="R21" s="286">
        <f>('Equipment Results Matrix'!$R$6+('Equipment Results Matrix'!$R$7*30)+'Equipment Results Matrix'!$R$11+'Equipment Results Matrix'!$R$12+'Equipment Results Matrix'!$R$16+'Equipment Results Matrix'!$R$23+('Equipment Results Matrix'!$R$24*F21)+'Equipment Results Matrix'!$T$12)</f>
        <v>674.6445799176289</v>
      </c>
      <c r="S21" s="285">
        <f>('Equipment Results Matrix'!$R$5+('Equipment Results Matrix'!$R$7*25)+'Equipment Results Matrix'!$R$11+'Equipment Results Matrix'!$R$12+'Equipment Results Matrix'!$R$16+'Equipment Results Matrix'!$R$23+('Equipment Results Matrix'!$R$24*G21)+'Equipment Results Matrix'!$T$12)</f>
        <v>588.14253491762906</v>
      </c>
      <c r="T21" s="74">
        <f>('Equipment Results Matrix'!$R$5+('Equipment Results Matrix'!$R$7*20)+'Equipment Results Matrix'!$R$11+'Equipment Results Matrix'!$R$12+'Equipment Results Matrix'!$R$16+'Equipment Results Matrix'!$R$23+('Equipment Results Matrix'!$R$24*H21)+'Equipment Results Matrix'!$T$12)</f>
        <v>487.22947991762896</v>
      </c>
      <c r="U21" s="286">
        <f>('Equipment Results Matrix'!$R$5+('Equipment Results Matrix'!$R$7*30)+'Equipment Results Matrix'!$R$11+'Equipment Results Matrix'!$R$12+'Equipment Results Matrix'!$R$16+'Equipment Results Matrix'!$R$23+('Equipment Results Matrix'!$R$24*I21)+'Equipment Results Matrix'!$T$12)</f>
        <v>689.05558991762894</v>
      </c>
      <c r="V21" s="285">
        <f>('Equipment Results Matrix'!$R$6+('Equipment Results Matrix'!$R$7*25)+'Equipment Results Matrix'!$R$11+'Equipment Results Matrix'!$R$12+'Equipment Results Matrix'!$R$16+'Equipment Results Matrix'!$R$23+('Equipment Results Matrix'!$R$24*J21)+'Equipment Results Matrix'!$T$12)</f>
        <v>611.80598741762901</v>
      </c>
      <c r="W21" s="74">
        <f>('Equipment Results Matrix'!$R$6+('Equipment Results Matrix'!$R$7*20)+'Equipment Results Matrix'!$R$11+'Equipment Results Matrix'!$R$12+'Equipment Results Matrix'!$R$16+'Equipment Results Matrix'!$R$23+('Equipment Results Matrix'!$R$24*K21)+'Equipment Results Matrix'!$T$12)</f>
        <v>509.89087991762898</v>
      </c>
      <c r="X21" s="286">
        <f>('Equipment Results Matrix'!$R$6+('Equipment Results Matrix'!$R$7*30)+'Equipment Results Matrix'!$R$11+'Equipment Results Matrix'!$R$12+'Equipment Results Matrix'!$R$16+'Equipment Results Matrix'!$R$23+('Equipment Results Matrix'!$R$24*L21)+'Equipment Results Matrix'!$T$12)</f>
        <v>713.72109491762899</v>
      </c>
      <c r="Y21" s="285">
        <f>('Equipment Results Matrix'!$R$6+('Equipment Results Matrix'!$R$7*25)+'Equipment Results Matrix'!$R$11+'Equipment Results Matrix'!$R$12+'Equipment Results Matrix'!$R$16+'Equipment Results Matrix'!$R$23+('Equipment Results Matrix'!$R$24*M21)+'Equipment Results Matrix'!$T$12)</f>
        <v>623.82943991762909</v>
      </c>
      <c r="Z21" s="74">
        <f>('Equipment Results Matrix'!$R$6+('Equipment Results Matrix'!$R$7*20)+'Equipment Results Matrix'!$R$11+'Equipment Results Matrix'!$R$12+'Equipment Results Matrix'!$R$16+'Equipment Results Matrix'!$R$23+('Equipment Results Matrix'!$R$24*N21)+'Equipment Results Matrix'!$T$12)</f>
        <v>520.91227991762901</v>
      </c>
      <c r="AA21" s="286">
        <f>('Equipment Results Matrix'!$R$6+('Equipment Results Matrix'!$R$7*30)+'Equipment Results Matrix'!$R$11+'Equipment Results Matrix'!$R$12+'Equipment Results Matrix'!$R$16+'Equipment Results Matrix'!$R$23+('Equipment Results Matrix'!$R$24*O21)+'Equipment Results Matrix'!$T$12)</f>
        <v>726.74659991762894</v>
      </c>
      <c r="AB21" s="294">
        <f t="shared" si="21"/>
        <v>12.406905000000052</v>
      </c>
      <c r="AC21" s="31">
        <f t="shared" si="21"/>
        <v>10.402799999999957</v>
      </c>
      <c r="AD21" s="295">
        <f t="shared" si="21"/>
        <v>14.411010000000033</v>
      </c>
      <c r="AE21" s="294">
        <f t="shared" si="22"/>
        <v>36.0703575</v>
      </c>
      <c r="AF21" s="31">
        <f t="shared" si="22"/>
        <v>33.064199999999971</v>
      </c>
      <c r="AG21" s="295">
        <f t="shared" si="22"/>
        <v>39.076515000000086</v>
      </c>
      <c r="AH21" s="294">
        <f t="shared" ref="AH21:AH24" si="24">Y21-P21</f>
        <v>48.093810000000076</v>
      </c>
      <c r="AI21" s="294">
        <f t="shared" ref="AI21:AI24" si="25">Z21-Q21</f>
        <v>44.085599999999999</v>
      </c>
      <c r="AJ21" s="294">
        <f t="shared" ref="AJ21:AJ24" si="26">AA21-R21</f>
        <v>52.102020000000039</v>
      </c>
    </row>
    <row r="22" spans="1:36" ht="28.8">
      <c r="A22" s="279" t="s">
        <v>88</v>
      </c>
      <c r="B22" s="274" t="s">
        <v>89</v>
      </c>
      <c r="C22" s="276" t="s">
        <v>90</v>
      </c>
      <c r="D22" s="310">
        <f>8.85*(25)+317</f>
        <v>538.25</v>
      </c>
      <c r="E22" s="311">
        <f>8.85*(20)+317</f>
        <v>494</v>
      </c>
      <c r="F22" s="1598">
        <f>8.85*(30)+317</f>
        <v>582.5</v>
      </c>
      <c r="G22" s="304">
        <f t="shared" si="12"/>
        <v>484.42500000000001</v>
      </c>
      <c r="H22" s="305">
        <f t="shared" si="13"/>
        <v>444.6</v>
      </c>
      <c r="I22" s="1604">
        <f t="shared" si="14"/>
        <v>524.25</v>
      </c>
      <c r="J22" s="304">
        <f t="shared" si="15"/>
        <v>457.51249999999999</v>
      </c>
      <c r="K22" s="305">
        <f t="shared" si="16"/>
        <v>419.9</v>
      </c>
      <c r="L22" s="1604">
        <f t="shared" si="17"/>
        <v>495.125</v>
      </c>
      <c r="M22" s="304">
        <f t="shared" si="18"/>
        <v>430.6</v>
      </c>
      <c r="N22" s="305">
        <f t="shared" si="19"/>
        <v>395.2</v>
      </c>
      <c r="O22" s="306">
        <f t="shared" si="20"/>
        <v>466</v>
      </c>
      <c r="P22" s="282">
        <f>('Equipment Results Matrix'!$R$6+('Equipment Results Matrix'!$R$7*25)+'Equipment Results Matrix'!$R$8+'Equipment Results Matrix'!$R$12+'Equipment Results Matrix'!$R$16+'Equipment Results Matrix'!$R$23+('Equipment Results Matrix'!$R$24*D22)+'Equipment Results Matrix'!$T$12)</f>
        <v>1110.9789299176291</v>
      </c>
      <c r="Q22" s="74">
        <f>('Equipment Results Matrix'!$R$6+('Equipment Results Matrix'!$R$7*20)+'Equipment Results Matrix'!$R$8+'Equipment Results Matrix'!$R$12+'Equipment Results Matrix'!$R$16+'Equipment Results Matrix'!$R$23+('Equipment Results Matrix'!$R$24*E22)+'Equipment Results Matrix'!$T$12)</f>
        <v>1012.870679917629</v>
      </c>
      <c r="R22" s="286">
        <f>('Equipment Results Matrix'!$R$6+('Equipment Results Matrix'!$R$7*30)+'Equipment Results Matrix'!$R$8+'Equipment Results Matrix'!$R$12+'Equipment Results Matrix'!$R$16+'Equipment Results Matrix'!$R$23+('Equipment Results Matrix'!$R$24*F22)+'Equipment Results Matrix'!$T$12)</f>
        <v>1209.0871799176289</v>
      </c>
      <c r="S22" s="285">
        <f>('Equipment Results Matrix'!$R$5+('Equipment Results Matrix'!$R$7*25)+'Equipment Results Matrix'!$R$8+'Equipment Results Matrix'!$R$12+'Equipment Results Matrix'!$R$16+'Equipment Results Matrix'!$R$23+('Equipment Results Matrix'!$R$24*G22)+'Equipment Results Matrix'!$T$12)</f>
        <v>1124.6905049176289</v>
      </c>
      <c r="T22" s="74">
        <f>('Equipment Results Matrix'!$R$5+('Equipment Results Matrix'!$R$7*20)+'Equipment Results Matrix'!$R$8+'Equipment Results Matrix'!$R$12+'Equipment Results Matrix'!$R$16+'Equipment Results Matrix'!$R$23+('Equipment Results Matrix'!$R$24*H22)+'Equipment Results Matrix'!$T$12)</f>
        <v>1024.498079917629</v>
      </c>
      <c r="U22" s="286">
        <f>('Equipment Results Matrix'!$R$5+('Equipment Results Matrix'!$R$7*30)+'Equipment Results Matrix'!$R$8+'Equipment Results Matrix'!$R$12+'Equipment Results Matrix'!$R$16+'Equipment Results Matrix'!$R$23+('Equipment Results Matrix'!$R$24*I22)+'Equipment Results Matrix'!$T$12)</f>
        <v>1224.8829299176291</v>
      </c>
      <c r="V22" s="285">
        <f>('Equipment Results Matrix'!$R$6+('Equipment Results Matrix'!$R$7*25)+'Equipment Results Matrix'!$R$8+'Equipment Results Matrix'!$R$12+'Equipment Results Matrix'!$R$16+'Equipment Results Matrix'!$R$23+('Equipment Results Matrix'!$R$24*J22)+'Equipment Results Matrix'!$T$12)</f>
        <v>1149.0062924176291</v>
      </c>
      <c r="W22" s="74">
        <f>('Equipment Results Matrix'!$R$6+('Equipment Results Matrix'!$R$7*20)+'Equipment Results Matrix'!$R$8+'Equipment Results Matrix'!$R$12+'Equipment Results Matrix'!$R$16+'Equipment Results Matrix'!$R$23+('Equipment Results Matrix'!$R$24*K22)+'Equipment Results Matrix'!$T$12)</f>
        <v>1047.7717799176289</v>
      </c>
      <c r="X22" s="286">
        <f>('Equipment Results Matrix'!$R$6+('Equipment Results Matrix'!$R$7*30)+'Equipment Results Matrix'!$R$8+'Equipment Results Matrix'!$R$12+'Equipment Results Matrix'!$R$16+'Equipment Results Matrix'!$R$23+('Equipment Results Matrix'!$R$24*L22)+'Equipment Results Matrix'!$T$12)</f>
        <v>1250.240804917629</v>
      </c>
      <c r="Y22" s="285">
        <f>('Equipment Results Matrix'!$R$6+('Equipment Results Matrix'!$R$7*25)+'Equipment Results Matrix'!$R$8+'Equipment Results Matrix'!$R$12+'Equipment Results Matrix'!$R$16+'Equipment Results Matrix'!$R$23+('Equipment Results Matrix'!$R$24*M22)+'Equipment Results Matrix'!$T$12)</f>
        <v>1161.6820799176289</v>
      </c>
      <c r="Z22" s="74">
        <f>('Equipment Results Matrix'!$R$6+('Equipment Results Matrix'!$R$7*20)+'Equipment Results Matrix'!$R$8+'Equipment Results Matrix'!$R$12+'Equipment Results Matrix'!$R$16+'Equipment Results Matrix'!$R$23+('Equipment Results Matrix'!$R$24*N22)+'Equipment Results Matrix'!$T$12)</f>
        <v>1059.405479917629</v>
      </c>
      <c r="AA22" s="286">
        <f>('Equipment Results Matrix'!$R$6+('Equipment Results Matrix'!$R$7*30)+'Equipment Results Matrix'!$R$8+'Equipment Results Matrix'!$R$12+'Equipment Results Matrix'!$R$16+'Equipment Results Matrix'!$R$23+('Equipment Results Matrix'!$R$24*O22)+'Equipment Results Matrix'!$T$12)</f>
        <v>1263.9586799176291</v>
      </c>
      <c r="AB22" s="294">
        <f t="shared" si="21"/>
        <v>13.711574999999812</v>
      </c>
      <c r="AC22" s="31">
        <f t="shared" si="21"/>
        <v>11.627399999999966</v>
      </c>
      <c r="AD22" s="295">
        <f t="shared" si="21"/>
        <v>15.795750000000226</v>
      </c>
      <c r="AE22" s="294">
        <f t="shared" si="22"/>
        <v>38.027362499999981</v>
      </c>
      <c r="AF22" s="31">
        <f t="shared" si="22"/>
        <v>34.901099999999929</v>
      </c>
      <c r="AG22" s="295">
        <f t="shared" si="22"/>
        <v>41.153625000000147</v>
      </c>
      <c r="AH22" s="294">
        <f t="shared" si="24"/>
        <v>50.703149999999823</v>
      </c>
      <c r="AI22" s="294">
        <f t="shared" si="25"/>
        <v>46.534800000000018</v>
      </c>
      <c r="AJ22" s="294">
        <f t="shared" si="26"/>
        <v>54.871500000000196</v>
      </c>
    </row>
    <row r="23" spans="1:36" ht="28.8">
      <c r="A23" s="279" t="s">
        <v>91</v>
      </c>
      <c r="B23" s="274" t="s">
        <v>92</v>
      </c>
      <c r="C23" s="276" t="s">
        <v>93</v>
      </c>
      <c r="D23" s="310">
        <f>8.4*(25)+385.4</f>
        <v>595.4</v>
      </c>
      <c r="E23" s="311">
        <f>8.4*(20)+385.4</f>
        <v>553.4</v>
      </c>
      <c r="F23" s="1598">
        <f>8.4*(30)+385.4</f>
        <v>637.4</v>
      </c>
      <c r="G23" s="304">
        <f t="shared" si="12"/>
        <v>535.86</v>
      </c>
      <c r="H23" s="305">
        <f t="shared" si="13"/>
        <v>498.05999999999995</v>
      </c>
      <c r="I23" s="1604">
        <f t="shared" si="14"/>
        <v>573.66</v>
      </c>
      <c r="J23" s="304">
        <f t="shared" si="15"/>
        <v>506.09</v>
      </c>
      <c r="K23" s="305">
        <f t="shared" si="16"/>
        <v>470.39</v>
      </c>
      <c r="L23" s="1604">
        <f t="shared" si="17"/>
        <v>541.79</v>
      </c>
      <c r="M23" s="304">
        <f t="shared" si="18"/>
        <v>476.32</v>
      </c>
      <c r="N23" s="305">
        <f t="shared" si="19"/>
        <v>442.71999999999997</v>
      </c>
      <c r="O23" s="306">
        <f t="shared" si="20"/>
        <v>509.91999999999996</v>
      </c>
      <c r="P23" s="282">
        <f>('Equipment Results Matrix'!$R$6+('Equipment Results Matrix'!$R$7*25)+'Equipment Results Matrix'!$R$9+'Equipment Results Matrix'!$R$12+'Equipment Results Matrix'!$R$16+'Equipment Results Matrix'!$R$22+('Equipment Results Matrix'!$R$24*D23)+'Equipment Results Matrix'!$T$12)</f>
        <v>1214.4702799176291</v>
      </c>
      <c r="Q23" s="74">
        <f>('Equipment Results Matrix'!$R$6+('Equipment Results Matrix'!$R$7*20)+'Equipment Results Matrix'!$R$9+'Equipment Results Matrix'!$R$12+'Equipment Results Matrix'!$R$16+'Equipment Results Matrix'!$R$22+('Equipment Results Matrix'!$R$24*E23)+'Equipment Results Matrix'!$T$12)</f>
        <v>1115.302279917629</v>
      </c>
      <c r="R23" s="286">
        <f>('Equipment Results Matrix'!$R$6+('Equipment Results Matrix'!$R$7*30)+'Equipment Results Matrix'!$R$9+'Equipment Results Matrix'!$R$12+'Equipment Results Matrix'!$R$16+'Equipment Results Matrix'!$R$22+('Equipment Results Matrix'!$R$24*F23)+'Equipment Results Matrix'!$T$12)</f>
        <v>1313.638279917629</v>
      </c>
      <c r="S23" s="285">
        <f>('Equipment Results Matrix'!$R$5+('Equipment Results Matrix'!$R$7*25)+'Equipment Results Matrix'!$R$9+'Equipment Results Matrix'!$R$12+'Equipment Results Matrix'!$R$16+'Equipment Results Matrix'!$R$22+('Equipment Results Matrix'!$R$24*G23)+'Equipment Results Matrix'!$T$12)</f>
        <v>1230.873619917629</v>
      </c>
      <c r="T23" s="74">
        <f>('Equipment Results Matrix'!$R$5+('Equipment Results Matrix'!$R$7*20)+'Equipment Results Matrix'!$R$9+'Equipment Results Matrix'!$R$12+'Equipment Results Matrix'!$R$16+'Equipment Results Matrix'!$R$22+('Equipment Results Matrix'!$R$24*H23)+'Equipment Results Matrix'!$T$12)</f>
        <v>1129.727419917629</v>
      </c>
      <c r="U23" s="286">
        <f>('Equipment Results Matrix'!$R$5+('Equipment Results Matrix'!$R$7*30)+'Equipment Results Matrix'!$R$9+'Equipment Results Matrix'!$R$12+'Equipment Results Matrix'!$R$16+'Equipment Results Matrix'!$R$22+('Equipment Results Matrix'!$R$24*I23)+'Equipment Results Matrix'!$T$12)</f>
        <v>1332.0198199176289</v>
      </c>
      <c r="V23" s="285">
        <f>('Equipment Results Matrix'!$R$6+('Equipment Results Matrix'!$R$7*25)+'Equipment Results Matrix'!$R$9+'Equipment Results Matrix'!$R$12+'Equipment Results Matrix'!$R$16+'Equipment Results Matrix'!$R$22+('Equipment Results Matrix'!$R$24*J23)+'Equipment Results Matrix'!$T$12)</f>
        <v>1256.5352899176291</v>
      </c>
      <c r="W23" s="74">
        <f>('Equipment Results Matrix'!$R$6+('Equipment Results Matrix'!$R$7*20)+'Equipment Results Matrix'!$R$9+'Equipment Results Matrix'!$R$12+'Equipment Results Matrix'!$R$16+'Equipment Results Matrix'!$R$22+('Equipment Results Matrix'!$R$24*K23)+'Equipment Results Matrix'!$T$12)</f>
        <v>1154.399989917629</v>
      </c>
      <c r="X23" s="286">
        <f>('Equipment Results Matrix'!$R$6+('Equipment Results Matrix'!$R$7*30)+'Equipment Results Matrix'!$R$9+'Equipment Results Matrix'!$R$12+'Equipment Results Matrix'!$R$16+'Equipment Results Matrix'!$R$22+('Equipment Results Matrix'!$R$24*L23)+'Equipment Results Matrix'!$T$12)</f>
        <v>1358.6705899176291</v>
      </c>
      <c r="Y23" s="285">
        <f>('Equipment Results Matrix'!$R$6+('Equipment Results Matrix'!$R$7*25)+'Equipment Results Matrix'!$R$9+'Equipment Results Matrix'!$R$12+'Equipment Results Matrix'!$R$16+'Equipment Results Matrix'!$R$22+('Equipment Results Matrix'!$R$24*M23)+'Equipment Results Matrix'!$T$12)</f>
        <v>1270.556959917629</v>
      </c>
      <c r="Z23" s="74">
        <f>('Equipment Results Matrix'!$R$6+('Equipment Results Matrix'!$R$7*20)+'Equipment Results Matrix'!$R$9+'Equipment Results Matrix'!$R$12+'Equipment Results Matrix'!$R$16+'Equipment Results Matrix'!$R$22+('Equipment Results Matrix'!$R$24*N23)+'Equipment Results Matrix'!$T$12)</f>
        <v>1167.4325599176291</v>
      </c>
      <c r="AA23" s="286">
        <f>('Equipment Results Matrix'!$R$6+('Equipment Results Matrix'!$R$7*30)+'Equipment Results Matrix'!$R$9+'Equipment Results Matrix'!$R$12+'Equipment Results Matrix'!$R$16+'Equipment Results Matrix'!$R$22+('Equipment Results Matrix'!$R$24*O23)+'Equipment Results Matrix'!$T$12)</f>
        <v>1373.6813599176289</v>
      </c>
      <c r="AB23" s="294">
        <f t="shared" si="21"/>
        <v>16.403339999999844</v>
      </c>
      <c r="AC23" s="31">
        <f t="shared" si="21"/>
        <v>14.425140000000056</v>
      </c>
      <c r="AD23" s="295">
        <f t="shared" si="21"/>
        <v>18.381539999999859</v>
      </c>
      <c r="AE23" s="294">
        <f t="shared" si="22"/>
        <v>42.065010000000029</v>
      </c>
      <c r="AF23" s="31">
        <f t="shared" si="22"/>
        <v>39.097710000000006</v>
      </c>
      <c r="AG23" s="295">
        <f t="shared" si="22"/>
        <v>45.032310000000052</v>
      </c>
      <c r="AH23" s="294">
        <f t="shared" si="24"/>
        <v>56.086679999999888</v>
      </c>
      <c r="AI23" s="294">
        <f t="shared" si="25"/>
        <v>52.130280000000084</v>
      </c>
      <c r="AJ23" s="294">
        <f t="shared" si="26"/>
        <v>60.043079999999918</v>
      </c>
    </row>
    <row r="24" spans="1:36" ht="29.4" thickBot="1">
      <c r="A24" s="280" t="s">
        <v>94</v>
      </c>
      <c r="B24" s="277" t="s">
        <v>95</v>
      </c>
      <c r="C24" s="278" t="s">
        <v>96</v>
      </c>
      <c r="D24" s="312">
        <f>8.54*(25)+432.8</f>
        <v>646.29999999999995</v>
      </c>
      <c r="E24" s="313">
        <f>8.54*(20)+432.8</f>
        <v>603.6</v>
      </c>
      <c r="F24" s="1599">
        <f>8.54*(30)+432.8</f>
        <v>689</v>
      </c>
      <c r="G24" s="307">
        <f t="shared" si="12"/>
        <v>581.66999999999996</v>
      </c>
      <c r="H24" s="308">
        <f t="shared" si="13"/>
        <v>543.24</v>
      </c>
      <c r="I24" s="1605">
        <f t="shared" si="14"/>
        <v>620.1</v>
      </c>
      <c r="J24" s="307">
        <f t="shared" si="15"/>
        <v>549.35500000000002</v>
      </c>
      <c r="K24" s="308">
        <f t="shared" si="16"/>
        <v>513.06000000000006</v>
      </c>
      <c r="L24" s="1605">
        <f t="shared" si="17"/>
        <v>585.65</v>
      </c>
      <c r="M24" s="307">
        <f t="shared" si="18"/>
        <v>517.04</v>
      </c>
      <c r="N24" s="308">
        <f t="shared" si="19"/>
        <v>482.88</v>
      </c>
      <c r="O24" s="309">
        <f t="shared" si="20"/>
        <v>551.20000000000005</v>
      </c>
      <c r="P24" s="302">
        <f>('Equipment Results Matrix'!$R$6+('Equipment Results Matrix'!$R$7*25)+'Equipment Results Matrix'!$R$11+'Equipment Results Matrix'!$R$12+'Equipment Results Matrix'!$R$16+'Equipment Results Matrix'!$R$22+('Equipment Results Matrix'!$R$24*D24)+'Equipment Results Matrix'!$T$12)</f>
        <v>1033.2973799176291</v>
      </c>
      <c r="Q24" s="288">
        <f>('Equipment Results Matrix'!$R$6+('Equipment Results Matrix'!$R$7*20)+'Equipment Results Matrix'!$R$11+'Equipment Results Matrix'!$R$12+'Equipment Results Matrix'!$R$16+'Equipment Results Matrix'!$R$22+('Equipment Results Matrix'!$R$24*E24)+'Equipment Results Matrix'!$T$12)</f>
        <v>934.45907991762897</v>
      </c>
      <c r="R24" s="289">
        <f>('Equipment Results Matrix'!$R$6+('Equipment Results Matrix'!$R$7*30)+'Equipment Results Matrix'!$R$11+'Equipment Results Matrix'!$R$12+'Equipment Results Matrix'!$R$16+'Equipment Results Matrix'!$R$22+('Equipment Results Matrix'!$R$24*F24)+'Equipment Results Matrix'!$T$12)</f>
        <v>1132.135679917629</v>
      </c>
      <c r="S24" s="287">
        <f>('Equipment Results Matrix'!$R$5+('Equipment Results Matrix'!$R$7*25)+'Equipment Results Matrix'!$R$11+'Equipment Results Matrix'!$R$12+'Equipment Results Matrix'!$R$16+'Equipment Results Matrix'!$R$22+('Equipment Results Matrix'!$R$24*G24)+'Equipment Results Matrix'!$T$12)</f>
        <v>1052.098109917629</v>
      </c>
      <c r="T24" s="288">
        <f>('Equipment Results Matrix'!$R$5+('Equipment Results Matrix'!$R$7*20)+'Equipment Results Matrix'!$R$11+'Equipment Results Matrix'!$R$12+'Equipment Results Matrix'!$R$16+'Equipment Results Matrix'!$R$22+('Equipment Results Matrix'!$R$24*H24)+'Equipment Results Matrix'!$T$12)</f>
        <v>951.24863991762902</v>
      </c>
      <c r="U24" s="289">
        <f>('Equipment Results Matrix'!$R$5+('Equipment Results Matrix'!$R$7*30)+'Equipment Results Matrix'!$R$11+'Equipment Results Matrix'!$R$12+'Equipment Results Matrix'!$R$16+'Equipment Results Matrix'!$R$22+('Equipment Results Matrix'!$R$24*I24)+'Equipment Results Matrix'!$T$12)</f>
        <v>1152.9475799176289</v>
      </c>
      <c r="V24" s="287">
        <f>('Equipment Results Matrix'!$R$6+('Equipment Results Matrix'!$R$7*25)+'Equipment Results Matrix'!$R$11+'Equipment Results Matrix'!$R$12+'Equipment Results Matrix'!$R$16+'Equipment Results Matrix'!$R$22+('Equipment Results Matrix'!$R$24*J24)+'Equipment Results Matrix'!$T$12)</f>
        <v>1078.958474917629</v>
      </c>
      <c r="W24" s="288">
        <f>('Equipment Results Matrix'!$R$6+('Equipment Results Matrix'!$R$7*20)+'Equipment Results Matrix'!$R$11+'Equipment Results Matrix'!$R$12+'Equipment Results Matrix'!$R$16+'Equipment Results Matrix'!$R$22+('Equipment Results Matrix'!$R$24*K24)+'Equipment Results Matrix'!$T$12)</f>
        <v>977.10341991762903</v>
      </c>
      <c r="X24" s="289">
        <f>('Equipment Results Matrix'!$R$6+('Equipment Results Matrix'!$R$7*30)+'Equipment Results Matrix'!$R$11+'Equipment Results Matrix'!$R$12+'Equipment Results Matrix'!$R$16+'Equipment Results Matrix'!$R$22+('Equipment Results Matrix'!$R$24*L24)+'Equipment Results Matrix'!$T$12)</f>
        <v>1180.813529917629</v>
      </c>
      <c r="Y24" s="287">
        <f>('Equipment Results Matrix'!$R$6+('Equipment Results Matrix'!$R$7*25)+'Equipment Results Matrix'!$R$11+'Equipment Results Matrix'!$R$12+'Equipment Results Matrix'!$R$16+'Equipment Results Matrix'!$R$22+('Equipment Results Matrix'!$R$24*M24)+'Equipment Results Matrix'!$T$12)</f>
        <v>1094.1788399176291</v>
      </c>
      <c r="Z24" s="288">
        <f>('Equipment Results Matrix'!$R$6+('Equipment Results Matrix'!$R$7*20)+'Equipment Results Matrix'!$R$11+'Equipment Results Matrix'!$R$12+'Equipment Results Matrix'!$R$16+'Equipment Results Matrix'!$R$22+('Equipment Results Matrix'!$R$24*N24)+'Equipment Results Matrix'!$T$12)</f>
        <v>991.31819991762904</v>
      </c>
      <c r="AA24" s="289">
        <f>('Equipment Results Matrix'!$R$6+('Equipment Results Matrix'!$R$7*30)+'Equipment Results Matrix'!$R$11+'Equipment Results Matrix'!$R$12+'Equipment Results Matrix'!$R$16+'Equipment Results Matrix'!$R$22+('Equipment Results Matrix'!$R$24*O24)+'Equipment Results Matrix'!$T$12)</f>
        <v>1197.039479917629</v>
      </c>
      <c r="AB24" s="296">
        <f t="shared" si="21"/>
        <v>18.80072999999993</v>
      </c>
      <c r="AC24" s="297">
        <f t="shared" si="21"/>
        <v>16.789560000000051</v>
      </c>
      <c r="AD24" s="298">
        <f t="shared" si="21"/>
        <v>20.811899999999923</v>
      </c>
      <c r="AE24" s="296">
        <f t="shared" si="22"/>
        <v>45.661094999999932</v>
      </c>
      <c r="AF24" s="297">
        <f t="shared" si="22"/>
        <v>42.644340000000057</v>
      </c>
      <c r="AG24" s="298">
        <f t="shared" si="22"/>
        <v>48.677850000000035</v>
      </c>
      <c r="AH24" s="294">
        <f t="shared" si="24"/>
        <v>60.881460000000061</v>
      </c>
      <c r="AI24" s="294">
        <f t="shared" si="25"/>
        <v>56.859120000000075</v>
      </c>
      <c r="AJ24" s="294">
        <f t="shared" si="26"/>
        <v>64.903800000000047</v>
      </c>
    </row>
    <row r="26" spans="1:36" ht="15" thickBot="1"/>
    <row r="27" spans="1:36" ht="15" thickBot="1">
      <c r="A27" s="1857" t="s">
        <v>75</v>
      </c>
      <c r="B27" s="1894" t="s">
        <v>696</v>
      </c>
      <c r="C27" s="1895"/>
      <c r="D27" s="1895"/>
      <c r="E27" s="1895"/>
      <c r="F27" s="1895"/>
      <c r="G27" s="1895"/>
      <c r="H27" s="1895"/>
      <c r="I27" s="1895"/>
      <c r="J27" s="1895"/>
      <c r="K27" s="1895"/>
      <c r="L27" s="1895"/>
      <c r="M27" s="1896"/>
      <c r="N27" s="1882" t="s">
        <v>697</v>
      </c>
      <c r="O27" s="1883"/>
      <c r="P27" s="1883"/>
      <c r="Q27" s="1883"/>
      <c r="R27" s="1883"/>
      <c r="S27" s="1883"/>
      <c r="T27" s="1883"/>
      <c r="U27" s="1883"/>
      <c r="V27" s="1884"/>
    </row>
    <row r="28" spans="1:36">
      <c r="A28" s="1858"/>
      <c r="B28" s="1864" t="s">
        <v>44</v>
      </c>
      <c r="C28" s="1865"/>
      <c r="D28" s="1866"/>
      <c r="E28" s="1867" t="s">
        <v>691</v>
      </c>
      <c r="F28" s="1868"/>
      <c r="G28" s="1869"/>
      <c r="H28" s="1867" t="s">
        <v>692</v>
      </c>
      <c r="I28" s="1868"/>
      <c r="J28" s="1869"/>
      <c r="K28" s="1867" t="s">
        <v>1872</v>
      </c>
      <c r="L28" s="1868"/>
      <c r="M28" s="1869"/>
      <c r="N28" s="1879" t="s">
        <v>694</v>
      </c>
      <c r="O28" s="1880"/>
      <c r="P28" s="1881"/>
      <c r="Q28" s="1879" t="s">
        <v>1875</v>
      </c>
      <c r="R28" s="1880"/>
      <c r="S28" s="1881"/>
      <c r="T28" s="1879" t="s">
        <v>1874</v>
      </c>
      <c r="U28" s="1880"/>
      <c r="V28" s="1881"/>
    </row>
    <row r="29" spans="1:36" ht="28.8">
      <c r="A29" s="1858"/>
      <c r="B29" s="314" t="s">
        <v>701</v>
      </c>
      <c r="C29" s="315" t="s">
        <v>98</v>
      </c>
      <c r="D29" s="316" t="s">
        <v>97</v>
      </c>
      <c r="E29" s="314" t="s">
        <v>701</v>
      </c>
      <c r="F29" s="315" t="s">
        <v>98</v>
      </c>
      <c r="G29" s="316" t="s">
        <v>97</v>
      </c>
      <c r="H29" s="314" t="s">
        <v>701</v>
      </c>
      <c r="I29" s="315" t="s">
        <v>98</v>
      </c>
      <c r="J29" s="316" t="s">
        <v>97</v>
      </c>
      <c r="K29" s="1571" t="s">
        <v>701</v>
      </c>
      <c r="L29" s="1572" t="s">
        <v>98</v>
      </c>
      <c r="M29" s="1573" t="s">
        <v>97</v>
      </c>
      <c r="N29" s="314" t="s">
        <v>701</v>
      </c>
      <c r="O29" s="315" t="s">
        <v>98</v>
      </c>
      <c r="P29" s="316" t="s">
        <v>97</v>
      </c>
      <c r="Q29" s="314" t="s">
        <v>701</v>
      </c>
      <c r="R29" s="315" t="s">
        <v>98</v>
      </c>
      <c r="S29" s="316" t="s">
        <v>97</v>
      </c>
      <c r="T29" s="1571" t="s">
        <v>701</v>
      </c>
      <c r="U29" s="1572" t="s">
        <v>98</v>
      </c>
      <c r="V29" s="1573" t="s">
        <v>97</v>
      </c>
    </row>
    <row r="30" spans="1:36">
      <c r="A30" s="279" t="s">
        <v>76</v>
      </c>
      <c r="B30" s="290" t="s">
        <v>22</v>
      </c>
      <c r="C30" s="73" t="s">
        <v>22</v>
      </c>
      <c r="D30" s="291" t="s">
        <v>22</v>
      </c>
      <c r="E30" s="283" t="s">
        <v>22</v>
      </c>
      <c r="F30" s="72" t="s">
        <v>22</v>
      </c>
      <c r="G30" s="284" t="s">
        <v>22</v>
      </c>
      <c r="H30" s="290" t="s">
        <v>22</v>
      </c>
      <c r="I30" s="72" t="s">
        <v>22</v>
      </c>
      <c r="J30" s="284" t="s">
        <v>22</v>
      </c>
      <c r="K30" s="290" t="s">
        <v>22</v>
      </c>
      <c r="L30" s="72" t="s">
        <v>22</v>
      </c>
      <c r="M30" s="284" t="s">
        <v>22</v>
      </c>
      <c r="N30" s="292" t="s">
        <v>22</v>
      </c>
      <c r="O30" s="30" t="s">
        <v>22</v>
      </c>
      <c r="P30" s="293" t="s">
        <v>22</v>
      </c>
      <c r="Q30" s="272" t="s">
        <v>22</v>
      </c>
      <c r="R30" s="226" t="s">
        <v>22</v>
      </c>
      <c r="S30" s="273" t="s">
        <v>22</v>
      </c>
      <c r="T30" s="272" t="s">
        <v>22</v>
      </c>
      <c r="U30" s="226" t="s">
        <v>22</v>
      </c>
      <c r="V30" s="273" t="s">
        <v>22</v>
      </c>
    </row>
    <row r="31" spans="1:36">
      <c r="A31" s="279" t="s">
        <v>79</v>
      </c>
      <c r="B31" s="290" t="s">
        <v>22</v>
      </c>
      <c r="C31" s="73" t="s">
        <v>22</v>
      </c>
      <c r="D31" s="291" t="s">
        <v>22</v>
      </c>
      <c r="E31" s="283" t="s">
        <v>22</v>
      </c>
      <c r="F31" s="72" t="s">
        <v>22</v>
      </c>
      <c r="G31" s="284" t="s">
        <v>22</v>
      </c>
      <c r="H31" s="290" t="s">
        <v>22</v>
      </c>
      <c r="I31" s="72" t="s">
        <v>22</v>
      </c>
      <c r="J31" s="284" t="s">
        <v>22</v>
      </c>
      <c r="K31" s="290" t="s">
        <v>22</v>
      </c>
      <c r="L31" s="72" t="s">
        <v>22</v>
      </c>
      <c r="M31" s="284" t="s">
        <v>22</v>
      </c>
      <c r="N31" s="292" t="s">
        <v>22</v>
      </c>
      <c r="O31" s="30" t="s">
        <v>22</v>
      </c>
      <c r="P31" s="293" t="s">
        <v>22</v>
      </c>
      <c r="Q31" s="272" t="s">
        <v>22</v>
      </c>
      <c r="R31" s="226" t="s">
        <v>22</v>
      </c>
      <c r="S31" s="273" t="s">
        <v>22</v>
      </c>
      <c r="T31" s="272" t="s">
        <v>22</v>
      </c>
      <c r="U31" s="226" t="s">
        <v>22</v>
      </c>
      <c r="V31" s="273" t="s">
        <v>22</v>
      </c>
    </row>
    <row r="32" spans="1:36" ht="28.8">
      <c r="A32" s="279" t="s">
        <v>82</v>
      </c>
      <c r="B32" s="285">
        <f>P20*Inflation!$D$3</f>
        <v>828.38337315831359</v>
      </c>
      <c r="C32" s="74">
        <f>Q20*Inflation!$D$3</f>
        <v>720.62315544332625</v>
      </c>
      <c r="D32" s="286">
        <f>R20*Inflation!$D$3</f>
        <v>936.14359087330081</v>
      </c>
      <c r="E32" s="285">
        <f>S20*Inflation!$D$3</f>
        <v>837.94662124254319</v>
      </c>
      <c r="F32" s="74">
        <f>T20*Inflation!$D$3</f>
        <v>728.13731282766628</v>
      </c>
      <c r="G32" s="286">
        <f>U20*Inflation!$D$3</f>
        <v>947.75592965741987</v>
      </c>
      <c r="H32" s="285">
        <f>V20*Inflation!$D$3</f>
        <v>861.55350495262257</v>
      </c>
      <c r="I32" s="74">
        <f>W20*Inflation!$D$3</f>
        <v>750.71965118780088</v>
      </c>
      <c r="J32" s="286">
        <f>X20*Inflation!$D$3</f>
        <v>972.38735871744416</v>
      </c>
      <c r="K32" s="285">
        <f>Y20*Inflation!$D$3</f>
        <v>872.61021555072557</v>
      </c>
      <c r="L32" s="74">
        <f>Z20*Inflation!$D$3</f>
        <v>760.75181643595909</v>
      </c>
      <c r="M32" s="286">
        <f>AA20*Inflation!$D$3</f>
        <v>984.46861466549194</v>
      </c>
      <c r="N32" s="294">
        <f>AB20*Inflation!$D$3</f>
        <v>9.5632480842295173</v>
      </c>
      <c r="O32" s="31">
        <f>AC20*Inflation!$D$3</f>
        <v>7.5141573843400717</v>
      </c>
      <c r="P32" s="295">
        <f>AD20*Inflation!$D$3</f>
        <v>11.612338784119087</v>
      </c>
      <c r="Q32" s="294">
        <f>AE20*Inflation!$D$3</f>
        <v>33.170131794308908</v>
      </c>
      <c r="R32" s="31">
        <f>AF20*Inflation!$D$3</f>
        <v>30.09649574447462</v>
      </c>
      <c r="S32" s="295">
        <f>AG20*Inflation!$D$3</f>
        <v>36.243767844143328</v>
      </c>
      <c r="T32" s="294">
        <f>AH20*Inflation!$D$3</f>
        <v>44.226842392411882</v>
      </c>
      <c r="U32" s="31">
        <f>AI20*Inflation!$D$3</f>
        <v>40.128660992632867</v>
      </c>
      <c r="V32" s="295">
        <f>AJ20*Inflation!$D$3</f>
        <v>48.325023792191139</v>
      </c>
    </row>
    <row r="33" spans="1:22" ht="28.8">
      <c r="A33" s="279" t="s">
        <v>85</v>
      </c>
      <c r="B33" s="285">
        <f>P21*Inflation!$D$3</f>
        <v>620.75445207895575</v>
      </c>
      <c r="C33" s="74">
        <f>Q21*Inflation!$D$3</f>
        <v>514.11145853739026</v>
      </c>
      <c r="D33" s="286">
        <f>R21*Inflation!$D$3</f>
        <v>727.39744562052113</v>
      </c>
      <c r="E33" s="285">
        <f>S21*Inflation!$D$3</f>
        <v>634.13149722791161</v>
      </c>
      <c r="F33" s="74">
        <f>T21*Inflation!$D$3</f>
        <v>525.32769056911434</v>
      </c>
      <c r="G33" s="286">
        <f>U21*Inflation!$D$3</f>
        <v>742.93530388670877</v>
      </c>
      <c r="H33" s="285">
        <f>V21*Inflation!$D$3</f>
        <v>659.64527947035413</v>
      </c>
      <c r="I33" s="74">
        <f>W21*Inflation!$D$3</f>
        <v>549.76106625294108</v>
      </c>
      <c r="J33" s="286">
        <f>X21*Inflation!$D$3</f>
        <v>769.52949268776717</v>
      </c>
      <c r="K33" s="285">
        <f>Y21*Inflation!$D$3</f>
        <v>672.60888860082036</v>
      </c>
      <c r="L33" s="74">
        <f>Z21*Inflation!$D$3</f>
        <v>561.64426882479131</v>
      </c>
      <c r="M33" s="286">
        <f>AA21*Inflation!$D$3</f>
        <v>783.57350837684919</v>
      </c>
      <c r="N33" s="294">
        <f>AB21*Inflation!$D$3</f>
        <v>13.377045148955901</v>
      </c>
      <c r="O33" s="31">
        <f>AC21*Inflation!$D$3</f>
        <v>11.216232031724051</v>
      </c>
      <c r="P33" s="295">
        <f>AD21*Inflation!$D$3</f>
        <v>15.537858266187627</v>
      </c>
      <c r="Q33" s="294">
        <f>AE21*Inflation!$D$3</f>
        <v>38.890827391398425</v>
      </c>
      <c r="R33" s="31">
        <f>AF21*Inflation!$D$3</f>
        <v>35.649607715550772</v>
      </c>
      <c r="S33" s="295">
        <f>AG21*Inflation!$D$3</f>
        <v>42.132047067246134</v>
      </c>
      <c r="T33" s="294">
        <f>AH21*Inflation!$D$3</f>
        <v>51.854436521864649</v>
      </c>
      <c r="U33" s="31">
        <f>AI21*Inflation!$D$3</f>
        <v>47.53281028740107</v>
      </c>
      <c r="V33" s="295">
        <f>AJ21*Inflation!$D$3</f>
        <v>56.176062756328101</v>
      </c>
    </row>
    <row r="34" spans="1:22" ht="28.8">
      <c r="A34" s="279" t="s">
        <v>88</v>
      </c>
      <c r="B34" s="285">
        <f>P22*Inflation!$D$3</f>
        <v>1197.8503345553765</v>
      </c>
      <c r="C34" s="74">
        <f>Q22*Inflation!$D$3</f>
        <v>1092.0706506023644</v>
      </c>
      <c r="D34" s="286">
        <f>R22*Inflation!$D$3</f>
        <v>1303.6300185083887</v>
      </c>
      <c r="E34" s="285">
        <f>S22*Inflation!$D$3</f>
        <v>1212.6340665045043</v>
      </c>
      <c r="F34" s="74">
        <f>T22*Inflation!$D$3</f>
        <v>1104.607238475405</v>
      </c>
      <c r="G34" s="286">
        <f>U22*Inflation!$D$3</f>
        <v>1320.6608945336038</v>
      </c>
      <c r="H34" s="285">
        <f>V22*Inflation!$D$3</f>
        <v>1238.8511921470331</v>
      </c>
      <c r="I34" s="74">
        <f>W22*Inflation!$D$3</f>
        <v>1129.7007920798901</v>
      </c>
      <c r="J34" s="286">
        <f>X22*Inflation!$D$3</f>
        <v>1348.0015922141758</v>
      </c>
      <c r="K34" s="285">
        <f>Y22*Inflation!$D$3</f>
        <v>1252.518144677585</v>
      </c>
      <c r="L34" s="74">
        <f>Z22*Inflation!$D$3</f>
        <v>1142.2441725723988</v>
      </c>
      <c r="M34" s="286">
        <f>AA22*Inflation!$D$3</f>
        <v>1362.7921167827717</v>
      </c>
      <c r="N34" s="294">
        <f>AB22*Inflation!$D$3</f>
        <v>14.78373194912766</v>
      </c>
      <c r="O34" s="31">
        <f>AC22*Inflation!$D$3</f>
        <v>12.536587873040757</v>
      </c>
      <c r="P34" s="295">
        <f>AD22*Inflation!$D$3</f>
        <v>17.030876025215175</v>
      </c>
      <c r="Q34" s="294">
        <f>AE22*Inflation!$D$3</f>
        <v>41.000857591656434</v>
      </c>
      <c r="R34" s="31">
        <f>AF22*Inflation!$D$3</f>
        <v>37.630141477525768</v>
      </c>
      <c r="S34" s="295">
        <f>AG22*Inflation!$D$3</f>
        <v>44.371573705787213</v>
      </c>
      <c r="T34" s="294">
        <f>AH22*Inflation!$D$3</f>
        <v>54.667810122208415</v>
      </c>
      <c r="U34" s="31">
        <f>AI22*Inflation!$D$3</f>
        <v>50.173521970034486</v>
      </c>
      <c r="V34" s="295">
        <f>AJ22*Inflation!$D$3</f>
        <v>59.162098274382956</v>
      </c>
    </row>
    <row r="35" spans="1:22" ht="28.8">
      <c r="A35" s="279" t="s">
        <v>91</v>
      </c>
      <c r="B35" s="285">
        <f>P23*Inflation!$D$3</f>
        <v>1309.4340422952514</v>
      </c>
      <c r="C35" s="74">
        <f>Q23*Inflation!$D$3</f>
        <v>1202.5117427103305</v>
      </c>
      <c r="D35" s="286">
        <f>R23*Inflation!$D$3</f>
        <v>1416.3563418801723</v>
      </c>
      <c r="E35" s="285">
        <f>S23*Inflation!$D$3</f>
        <v>1327.1200179494272</v>
      </c>
      <c r="F35" s="74">
        <f>T23*Inflation!$D$3</f>
        <v>1218.0648358516103</v>
      </c>
      <c r="G35" s="286">
        <f>U23*Inflation!$D$3</f>
        <v>1436.1752000472443</v>
      </c>
      <c r="H35" s="285">
        <f>V23*Inflation!$D$3</f>
        <v>1354.78826544448</v>
      </c>
      <c r="I35" s="74">
        <f>W23*Inflation!$D$3</f>
        <v>1244.6666420902147</v>
      </c>
      <c r="J35" s="286">
        <f>X23*Inflation!$D$3</f>
        <v>1464.9098887987452</v>
      </c>
      <c r="K35" s="285">
        <f>Y23*Inflation!$D$3</f>
        <v>1369.9063398275559</v>
      </c>
      <c r="L35" s="74">
        <f>Z23*Inflation!$D$3</f>
        <v>1258.7182752168428</v>
      </c>
      <c r="M35" s="286">
        <f>AA23*Inflation!$D$3</f>
        <v>1481.0944044382693</v>
      </c>
      <c r="N35" s="294">
        <f>AB23*Inflation!$D$3</f>
        <v>17.685975654175742</v>
      </c>
      <c r="O35" s="31">
        <f>AC23*Inflation!$D$3</f>
        <v>15.553093141279767</v>
      </c>
      <c r="P35" s="295">
        <f>AD23*Inflation!$D$3</f>
        <v>19.818858167071959</v>
      </c>
      <c r="Q35" s="294">
        <f>AE23*Inflation!$D$3</f>
        <v>45.354223149228552</v>
      </c>
      <c r="R35" s="31">
        <f>AF23*Inflation!$D$3</f>
        <v>42.154899379884228</v>
      </c>
      <c r="S35" s="295">
        <f>AG23*Inflation!$D$3</f>
        <v>48.553546918572877</v>
      </c>
      <c r="T35" s="294">
        <f>AH23*Inflation!$D$3</f>
        <v>60.472297532304573</v>
      </c>
      <c r="U35" s="31">
        <f>AI23*Inflation!$D$3</f>
        <v>56.206532506512382</v>
      </c>
      <c r="V35" s="295">
        <f>AJ23*Inflation!$D$3</f>
        <v>64.738062558097013</v>
      </c>
    </row>
    <row r="36" spans="1:22" ht="29.4" thickBot="1">
      <c r="A36" s="280" t="s">
        <v>94</v>
      </c>
      <c r="B36" s="287">
        <f>P24*Inflation!$D$3</f>
        <v>1114.0945871235335</v>
      </c>
      <c r="C36" s="288">
        <f>Q24*Inflation!$D$3</f>
        <v>1007.5277679574285</v>
      </c>
      <c r="D36" s="289">
        <f>R24*Inflation!$D$3</f>
        <v>1220.6614062896383</v>
      </c>
      <c r="E36" s="287">
        <f>S24*Inflation!$D$3</f>
        <v>1134.3654132516717</v>
      </c>
      <c r="F36" s="288">
        <f>T24*Inflation!$D$3</f>
        <v>1025.6301635307891</v>
      </c>
      <c r="G36" s="289">
        <f>U24*Inflation!$D$3</f>
        <v>1243.1006629725543</v>
      </c>
      <c r="H36" s="287">
        <f>V24*Inflation!$D$3</f>
        <v>1163.3260859837055</v>
      </c>
      <c r="I36" s="288">
        <f>W24*Inflation!$D$3</f>
        <v>1053.506620985434</v>
      </c>
      <c r="J36" s="289">
        <f>X24*Inflation!$D$3</f>
        <v>1273.1455509819771</v>
      </c>
      <c r="K36" s="287">
        <f>Y24*Inflation!$D$3</f>
        <v>1179.7365856037629</v>
      </c>
      <c r="L36" s="288">
        <f>Z24*Inflation!$D$3</f>
        <v>1068.8329053281022</v>
      </c>
      <c r="M36" s="289">
        <f>AA24*Inflation!$D$3</f>
        <v>1290.6402658794234</v>
      </c>
      <c r="N36" s="296">
        <f>AB24*Inflation!$D$3</f>
        <v>20.270826128138136</v>
      </c>
      <c r="O36" s="297">
        <f>AC24*Inflation!$D$3</f>
        <v>18.102395573360461</v>
      </c>
      <c r="P36" s="298">
        <f>AD24*Inflation!$D$3</f>
        <v>22.439256682915932</v>
      </c>
      <c r="Q36" s="296">
        <f>AE24*Inflation!$D$3</f>
        <v>49.231498860171904</v>
      </c>
      <c r="R36" s="297">
        <f>AF24*Inflation!$D$3</f>
        <v>45.978853028005325</v>
      </c>
      <c r="S36" s="298">
        <f>AG24*Inflation!$D$3</f>
        <v>52.484144692338717</v>
      </c>
      <c r="T36" s="296">
        <f>AH24*Inflation!$D$3</f>
        <v>65.641998480229361</v>
      </c>
      <c r="U36" s="297">
        <f>AI24*Inflation!$D$3</f>
        <v>61.305137370673769</v>
      </c>
      <c r="V36" s="298">
        <f>AJ24*Inflation!$D$3</f>
        <v>69.97885958978496</v>
      </c>
    </row>
    <row r="38" spans="1:22" ht="15" thickBot="1"/>
    <row r="39" spans="1:22">
      <c r="A39" s="1891" t="s">
        <v>698</v>
      </c>
      <c r="B39" s="1892"/>
      <c r="C39" s="1892"/>
      <c r="D39" s="1892"/>
      <c r="E39" s="1892"/>
      <c r="F39" s="1892"/>
      <c r="G39" s="1892"/>
      <c r="H39" s="1892"/>
      <c r="I39" s="1892"/>
      <c r="J39" s="1892"/>
      <c r="K39" s="1892"/>
      <c r="L39" s="1892"/>
      <c r="M39" s="1892"/>
      <c r="N39" s="1892"/>
      <c r="O39" s="1892"/>
      <c r="P39" s="1892"/>
      <c r="Q39" s="1892"/>
      <c r="R39" s="1892"/>
      <c r="S39" s="1892"/>
      <c r="T39" s="1893"/>
    </row>
    <row r="40" spans="1:22" ht="15" thickBot="1">
      <c r="A40" s="1894"/>
      <c r="B40" s="1895"/>
      <c r="C40" s="1895"/>
      <c r="D40" s="1895"/>
      <c r="E40" s="1895"/>
      <c r="F40" s="1895"/>
      <c r="G40" s="1895"/>
      <c r="H40" s="1895"/>
      <c r="I40" s="1895"/>
      <c r="J40" s="1895"/>
      <c r="K40" s="1895"/>
      <c r="L40" s="1895"/>
      <c r="M40" s="1895"/>
      <c r="N40" s="1895"/>
      <c r="O40" s="1895"/>
      <c r="P40" s="1895"/>
      <c r="Q40" s="1895"/>
      <c r="R40" s="1895"/>
      <c r="S40" s="1895"/>
      <c r="T40" s="1896"/>
    </row>
    <row r="41" spans="1:22" ht="15" customHeight="1">
      <c r="A41" s="1897" t="s">
        <v>75</v>
      </c>
      <c r="B41" s="1914" t="s">
        <v>642</v>
      </c>
      <c r="C41" s="1908" t="s">
        <v>621</v>
      </c>
      <c r="D41" s="1908" t="s">
        <v>622</v>
      </c>
      <c r="E41" s="1908" t="s">
        <v>261</v>
      </c>
      <c r="F41" s="1910" t="s">
        <v>1857</v>
      </c>
      <c r="G41" s="1910" t="s">
        <v>1856</v>
      </c>
      <c r="H41" s="1912" t="s">
        <v>629</v>
      </c>
      <c r="I41" s="1916" t="s">
        <v>625</v>
      </c>
      <c r="J41" s="1910"/>
      <c r="K41" s="1917"/>
      <c r="L41" s="1885" t="s">
        <v>687</v>
      </c>
      <c r="M41" s="1886"/>
      <c r="N41" s="1920"/>
      <c r="O41" s="1885" t="s">
        <v>688</v>
      </c>
      <c r="P41" s="1886"/>
      <c r="Q41" s="1887"/>
      <c r="R41" s="1885" t="s">
        <v>688</v>
      </c>
      <c r="S41" s="1886"/>
      <c r="T41" s="1887"/>
    </row>
    <row r="42" spans="1:22" ht="15" customHeight="1">
      <c r="A42" s="1898"/>
      <c r="B42" s="1915"/>
      <c r="C42" s="1909"/>
      <c r="D42" s="1909"/>
      <c r="E42" s="1909"/>
      <c r="F42" s="1911"/>
      <c r="G42" s="1911"/>
      <c r="H42" s="1913"/>
      <c r="I42" s="1918"/>
      <c r="J42" s="1911"/>
      <c r="K42" s="1919"/>
      <c r="L42" s="1888"/>
      <c r="M42" s="1889"/>
      <c r="N42" s="1921"/>
      <c r="O42" s="1888"/>
      <c r="P42" s="1889"/>
      <c r="Q42" s="1890"/>
      <c r="R42" s="1888"/>
      <c r="S42" s="1889"/>
      <c r="T42" s="1890"/>
    </row>
    <row r="43" spans="1:22" s="85" customFormat="1" ht="46.95" customHeight="1">
      <c r="A43" s="1898"/>
      <c r="B43" s="1915"/>
      <c r="C43" s="1909"/>
      <c r="D43" s="1909"/>
      <c r="E43" s="1909"/>
      <c r="F43" s="1911"/>
      <c r="G43" s="1911"/>
      <c r="H43" s="1913"/>
      <c r="I43" s="314" t="s">
        <v>701</v>
      </c>
      <c r="J43" s="315" t="s">
        <v>98</v>
      </c>
      <c r="K43" s="383" t="s">
        <v>97</v>
      </c>
      <c r="L43" s="352" t="s">
        <v>701</v>
      </c>
      <c r="M43" s="353" t="s">
        <v>98</v>
      </c>
      <c r="N43" s="383" t="s">
        <v>97</v>
      </c>
      <c r="O43" s="1571" t="s">
        <v>701</v>
      </c>
      <c r="P43" s="1572" t="s">
        <v>98</v>
      </c>
      <c r="Q43" s="1573" t="s">
        <v>97</v>
      </c>
      <c r="R43" s="1571" t="s">
        <v>701</v>
      </c>
      <c r="S43" s="1572" t="s">
        <v>98</v>
      </c>
      <c r="T43" s="1573" t="s">
        <v>97</v>
      </c>
    </row>
    <row r="44" spans="1:22" ht="16.2">
      <c r="A44" s="271" t="s">
        <v>76</v>
      </c>
      <c r="B44" s="1906" t="s">
        <v>715</v>
      </c>
      <c r="C44" s="183">
        <v>0.05</v>
      </c>
      <c r="D44" s="217">
        <v>12</v>
      </c>
      <c r="E44" s="217">
        <v>4</v>
      </c>
      <c r="F44" s="222">
        <f t="shared" ref="F44:F50" si="27">((1+$C44)^E44-1)/($C44*(1+$C44)^E44)</f>
        <v>3.5459505041623602</v>
      </c>
      <c r="G44" s="3">
        <f t="shared" ref="G44:G50" si="28">((1+$C44)^D44-1)/($C44*(1+$C44)^D44)</f>
        <v>8.8632516364488083</v>
      </c>
      <c r="H44" s="179">
        <f>F44/G44</f>
        <v>0.40007331954563541</v>
      </c>
      <c r="I44" s="290" t="s">
        <v>22</v>
      </c>
      <c r="J44" s="72" t="s">
        <v>22</v>
      </c>
      <c r="K44" s="384" t="s">
        <v>22</v>
      </c>
      <c r="L44" s="290" t="s">
        <v>22</v>
      </c>
      <c r="M44" s="72" t="s">
        <v>22</v>
      </c>
      <c r="N44" s="384" t="s">
        <v>22</v>
      </c>
      <c r="O44" s="290" t="s">
        <v>22</v>
      </c>
      <c r="P44" s="72" t="s">
        <v>22</v>
      </c>
      <c r="Q44" s="284" t="s">
        <v>22</v>
      </c>
      <c r="R44" s="290" t="s">
        <v>22</v>
      </c>
      <c r="S44" s="72" t="s">
        <v>22</v>
      </c>
      <c r="T44" s="284" t="s">
        <v>22</v>
      </c>
    </row>
    <row r="45" spans="1:22" ht="16.2">
      <c r="A45" s="271" t="s">
        <v>79</v>
      </c>
      <c r="B45" s="1906"/>
      <c r="C45" s="183">
        <v>0.05</v>
      </c>
      <c r="D45" s="217">
        <v>12</v>
      </c>
      <c r="E45" s="217">
        <v>4</v>
      </c>
      <c r="F45" s="222">
        <f t="shared" si="27"/>
        <v>3.5459505041623602</v>
      </c>
      <c r="G45" s="3">
        <f t="shared" si="28"/>
        <v>8.8632516364488083</v>
      </c>
      <c r="H45" s="179">
        <f t="shared" ref="H45" si="29">F45/G45</f>
        <v>0.40007331954563541</v>
      </c>
      <c r="I45" s="290" t="s">
        <v>22</v>
      </c>
      <c r="J45" s="72" t="s">
        <v>22</v>
      </c>
      <c r="K45" s="384" t="s">
        <v>22</v>
      </c>
      <c r="L45" s="290" t="s">
        <v>22</v>
      </c>
      <c r="M45" s="72" t="s">
        <v>22</v>
      </c>
      <c r="N45" s="384" t="s">
        <v>22</v>
      </c>
      <c r="O45" s="290" t="s">
        <v>22</v>
      </c>
      <c r="P45" s="72" t="s">
        <v>22</v>
      </c>
      <c r="Q45" s="284" t="s">
        <v>22</v>
      </c>
      <c r="R45" s="290" t="s">
        <v>22</v>
      </c>
      <c r="S45" s="72" t="s">
        <v>22</v>
      </c>
      <c r="T45" s="284" t="s">
        <v>22</v>
      </c>
    </row>
    <row r="46" spans="1:22" ht="28.8">
      <c r="A46" s="271" t="s">
        <v>82</v>
      </c>
      <c r="B46" s="1906"/>
      <c r="C46" s="183">
        <v>0.05</v>
      </c>
      <c r="D46" s="217">
        <v>12</v>
      </c>
      <c r="E46" s="217">
        <v>4</v>
      </c>
      <c r="F46" s="222">
        <f>((1+$C46)^E46-1)/($C46*(1+$C46)^E46)</f>
        <v>3.5459505041623602</v>
      </c>
      <c r="G46" s="3">
        <f t="shared" si="28"/>
        <v>8.8632516364488083</v>
      </c>
      <c r="H46" s="179">
        <f>F46/G46</f>
        <v>0.40007331954563541</v>
      </c>
      <c r="I46" s="285">
        <f t="shared" ref="I46:K50" si="30">B32*$H46</f>
        <v>331.41408595585733</v>
      </c>
      <c r="J46" s="74">
        <f t="shared" si="30"/>
        <v>288.30209793966196</v>
      </c>
      <c r="K46" s="381">
        <f t="shared" si="30"/>
        <v>374.52607397205264</v>
      </c>
      <c r="L46" s="285">
        <f t="shared" ref="L46:N50" si="31">I46+N32</f>
        <v>340.97733404008687</v>
      </c>
      <c r="M46" s="74">
        <f t="shared" si="31"/>
        <v>295.81625532400204</v>
      </c>
      <c r="N46" s="381">
        <f t="shared" si="31"/>
        <v>386.1384127561717</v>
      </c>
      <c r="O46" s="285">
        <f t="shared" ref="O46:Q50" si="32">I46+Q32</f>
        <v>364.58421775016626</v>
      </c>
      <c r="P46" s="74">
        <f t="shared" si="32"/>
        <v>318.39859368413659</v>
      </c>
      <c r="Q46" s="286">
        <f t="shared" si="32"/>
        <v>410.76984181619599</v>
      </c>
      <c r="R46" s="285">
        <f t="shared" ref="R46:T50" si="33">I46+T32</f>
        <v>375.6409283482692</v>
      </c>
      <c r="S46" s="74">
        <f t="shared" si="33"/>
        <v>328.43075893229485</v>
      </c>
      <c r="T46" s="286">
        <f t="shared" si="33"/>
        <v>422.85109776424378</v>
      </c>
    </row>
    <row r="47" spans="1:22" ht="28.8">
      <c r="A47" s="271" t="s">
        <v>85</v>
      </c>
      <c r="B47" s="1906"/>
      <c r="C47" s="183">
        <v>0.05</v>
      </c>
      <c r="D47" s="217">
        <v>12</v>
      </c>
      <c r="E47" s="217">
        <v>4</v>
      </c>
      <c r="F47" s="222">
        <f t="shared" si="27"/>
        <v>3.5459505041623602</v>
      </c>
      <c r="G47" s="3">
        <f t="shared" si="28"/>
        <v>8.8632516364488083</v>
      </c>
      <c r="H47" s="179">
        <f t="shared" ref="H47" si="34">F47/G47</f>
        <v>0.40007331954563541</v>
      </c>
      <c r="I47" s="285">
        <f t="shared" si="30"/>
        <v>248.34729426595987</v>
      </c>
      <c r="J47" s="74">
        <f t="shared" si="30"/>
        <v>205.68227783350201</v>
      </c>
      <c r="K47" s="381">
        <f t="shared" si="30"/>
        <v>291.01231069841771</v>
      </c>
      <c r="L47" s="285">
        <f t="shared" si="31"/>
        <v>261.72433941491579</v>
      </c>
      <c r="M47" s="74">
        <f t="shared" si="31"/>
        <v>216.89850986522606</v>
      </c>
      <c r="N47" s="381">
        <f t="shared" si="31"/>
        <v>306.55016896460535</v>
      </c>
      <c r="O47" s="285">
        <f t="shared" si="32"/>
        <v>287.23812165735831</v>
      </c>
      <c r="P47" s="74">
        <f t="shared" si="32"/>
        <v>241.3318855490528</v>
      </c>
      <c r="Q47" s="286">
        <f t="shared" si="32"/>
        <v>333.14435776566381</v>
      </c>
      <c r="R47" s="285">
        <f t="shared" si="33"/>
        <v>300.20173078782454</v>
      </c>
      <c r="S47" s="74">
        <f t="shared" si="33"/>
        <v>253.21508812090309</v>
      </c>
      <c r="T47" s="286">
        <f t="shared" si="33"/>
        <v>347.18837345474583</v>
      </c>
    </row>
    <row r="48" spans="1:22" ht="28.8">
      <c r="A48" s="271" t="s">
        <v>88</v>
      </c>
      <c r="B48" s="1906"/>
      <c r="C48" s="183">
        <v>0.05</v>
      </c>
      <c r="D48" s="217">
        <v>12</v>
      </c>
      <c r="E48" s="217">
        <v>4</v>
      </c>
      <c r="F48" s="222">
        <f t="shared" si="27"/>
        <v>3.5459505041623602</v>
      </c>
      <c r="G48" s="3">
        <f t="shared" si="28"/>
        <v>8.8632516364488083</v>
      </c>
      <c r="H48" s="179">
        <f>F48/G48</f>
        <v>0.40007331954563541</v>
      </c>
      <c r="I48" s="285">
        <f t="shared" si="30"/>
        <v>479.22795966441942</v>
      </c>
      <c r="J48" s="74">
        <f t="shared" si="30"/>
        <v>436.90833036484969</v>
      </c>
      <c r="K48" s="381">
        <f t="shared" si="30"/>
        <v>521.54758896398926</v>
      </c>
      <c r="L48" s="285">
        <f t="shared" si="31"/>
        <v>494.0116916135471</v>
      </c>
      <c r="M48" s="74">
        <f t="shared" si="31"/>
        <v>449.44491823789042</v>
      </c>
      <c r="N48" s="381">
        <f t="shared" si="31"/>
        <v>538.57846498920446</v>
      </c>
      <c r="O48" s="285">
        <f t="shared" si="32"/>
        <v>520.2288172560759</v>
      </c>
      <c r="P48" s="74">
        <f t="shared" si="32"/>
        <v>474.53847184237543</v>
      </c>
      <c r="Q48" s="286">
        <f t="shared" si="32"/>
        <v>565.91916266977648</v>
      </c>
      <c r="R48" s="285">
        <f t="shared" si="33"/>
        <v>533.89576978662785</v>
      </c>
      <c r="S48" s="74">
        <f t="shared" si="33"/>
        <v>487.08185233488416</v>
      </c>
      <c r="T48" s="286">
        <f t="shared" si="33"/>
        <v>580.70968723837223</v>
      </c>
    </row>
    <row r="49" spans="1:20" ht="28.8">
      <c r="A49" s="271" t="s">
        <v>91</v>
      </c>
      <c r="B49" s="1906"/>
      <c r="C49" s="183">
        <v>0.05</v>
      </c>
      <c r="D49" s="217">
        <v>12</v>
      </c>
      <c r="E49" s="217">
        <v>4</v>
      </c>
      <c r="F49" s="222">
        <f t="shared" si="27"/>
        <v>3.5459505041623602</v>
      </c>
      <c r="G49" s="3">
        <f t="shared" si="28"/>
        <v>8.8632516364488083</v>
      </c>
      <c r="H49" s="179">
        <f>F49/G49</f>
        <v>0.40007331954563541</v>
      </c>
      <c r="I49" s="285">
        <f t="shared" si="30"/>
        <v>523.86962402712118</v>
      </c>
      <c r="J49" s="74">
        <f t="shared" si="30"/>
        <v>481.09286469872899</v>
      </c>
      <c r="K49" s="381">
        <f t="shared" si="30"/>
        <v>566.64638335551342</v>
      </c>
      <c r="L49" s="285">
        <f t="shared" si="31"/>
        <v>541.55559968129694</v>
      </c>
      <c r="M49" s="74">
        <f t="shared" si="31"/>
        <v>496.64595784000875</v>
      </c>
      <c r="N49" s="381">
        <f t="shared" si="31"/>
        <v>586.46524152258542</v>
      </c>
      <c r="O49" s="285">
        <f t="shared" si="32"/>
        <v>569.22384717634975</v>
      </c>
      <c r="P49" s="74">
        <f t="shared" si="32"/>
        <v>523.24776407861327</v>
      </c>
      <c r="Q49" s="286">
        <f t="shared" si="32"/>
        <v>615.19993027408634</v>
      </c>
      <c r="R49" s="285">
        <f t="shared" si="33"/>
        <v>584.34192155942571</v>
      </c>
      <c r="S49" s="74">
        <f t="shared" si="33"/>
        <v>537.29939720524135</v>
      </c>
      <c r="T49" s="286">
        <f t="shared" si="33"/>
        <v>631.38444591361042</v>
      </c>
    </row>
    <row r="50" spans="1:20" ht="29.4" thickBot="1">
      <c r="A50" s="271" t="s">
        <v>94</v>
      </c>
      <c r="B50" s="1907"/>
      <c r="C50" s="299">
        <v>0.05</v>
      </c>
      <c r="D50" s="300">
        <v>12</v>
      </c>
      <c r="E50" s="300">
        <v>4</v>
      </c>
      <c r="F50" s="301">
        <f t="shared" si="27"/>
        <v>3.5459505041623602</v>
      </c>
      <c r="G50" s="136">
        <f t="shared" si="28"/>
        <v>8.8632516364488083</v>
      </c>
      <c r="H50" s="180">
        <f t="shared" ref="H50" si="35">F50/G50</f>
        <v>0.40007331954563541</v>
      </c>
      <c r="I50" s="287">
        <f t="shared" si="30"/>
        <v>445.71951975833616</v>
      </c>
      <c r="J50" s="288">
        <f t="shared" si="30"/>
        <v>403.08497866113311</v>
      </c>
      <c r="K50" s="382">
        <f t="shared" si="30"/>
        <v>488.35406085553916</v>
      </c>
      <c r="L50" s="287">
        <f t="shared" si="31"/>
        <v>465.9903458864743</v>
      </c>
      <c r="M50" s="288">
        <f t="shared" si="31"/>
        <v>421.18737423449357</v>
      </c>
      <c r="N50" s="382">
        <f t="shared" si="31"/>
        <v>510.79331753845509</v>
      </c>
      <c r="O50" s="287">
        <f t="shared" si="32"/>
        <v>494.95101861850804</v>
      </c>
      <c r="P50" s="288">
        <f t="shared" si="32"/>
        <v>449.06383168913845</v>
      </c>
      <c r="Q50" s="289">
        <f t="shared" si="32"/>
        <v>540.83820554787792</v>
      </c>
      <c r="R50" s="287">
        <f t="shared" si="33"/>
        <v>511.36151823856551</v>
      </c>
      <c r="S50" s="288">
        <f t="shared" si="33"/>
        <v>464.39011603180688</v>
      </c>
      <c r="T50" s="289">
        <f t="shared" si="33"/>
        <v>558.33292044532413</v>
      </c>
    </row>
    <row r="53" spans="1:20" ht="21">
      <c r="A53" s="184" t="s">
        <v>634</v>
      </c>
    </row>
  </sheetData>
  <mergeCells count="54">
    <mergeCell ref="A3:A4"/>
    <mergeCell ref="M3:Q3"/>
    <mergeCell ref="J3:L3"/>
    <mergeCell ref="G3:I3"/>
    <mergeCell ref="M2:Q2"/>
    <mergeCell ref="A2:L2"/>
    <mergeCell ref="B3:E3"/>
    <mergeCell ref="F5:F11"/>
    <mergeCell ref="N5:N11"/>
    <mergeCell ref="Q5:Q11"/>
    <mergeCell ref="P5:P11"/>
    <mergeCell ref="O5:O11"/>
    <mergeCell ref="M5:M11"/>
    <mergeCell ref="P15:AA15"/>
    <mergeCell ref="AB16:AD16"/>
    <mergeCell ref="M16:O16"/>
    <mergeCell ref="AB15:AJ15"/>
    <mergeCell ref="B44:B50"/>
    <mergeCell ref="Q28:S28"/>
    <mergeCell ref="C41:C43"/>
    <mergeCell ref="D41:D43"/>
    <mergeCell ref="E41:E43"/>
    <mergeCell ref="F41:F43"/>
    <mergeCell ref="G41:G43"/>
    <mergeCell ref="H41:H43"/>
    <mergeCell ref="B41:B43"/>
    <mergeCell ref="I41:K42"/>
    <mergeCell ref="L41:N42"/>
    <mergeCell ref="O41:Q42"/>
    <mergeCell ref="AE16:AG16"/>
    <mergeCell ref="P16:R16"/>
    <mergeCell ref="S16:U16"/>
    <mergeCell ref="V16:X16"/>
    <mergeCell ref="AH16:AJ16"/>
    <mergeCell ref="Y16:AA16"/>
    <mergeCell ref="T28:V28"/>
    <mergeCell ref="N27:V27"/>
    <mergeCell ref="R41:T42"/>
    <mergeCell ref="A39:T40"/>
    <mergeCell ref="K28:M28"/>
    <mergeCell ref="B27:M27"/>
    <mergeCell ref="N28:P28"/>
    <mergeCell ref="A27:A29"/>
    <mergeCell ref="A41:A43"/>
    <mergeCell ref="A15:A17"/>
    <mergeCell ref="G16:I16"/>
    <mergeCell ref="J16:L16"/>
    <mergeCell ref="B28:D28"/>
    <mergeCell ref="E28:G28"/>
    <mergeCell ref="H28:J28"/>
    <mergeCell ref="B15:O15"/>
    <mergeCell ref="B16:B17"/>
    <mergeCell ref="C16:C17"/>
    <mergeCell ref="D16:F16"/>
  </mergeCells>
  <hyperlinks>
    <hyperlink ref="A53" location="'Master Summary'!A1" display="Return To Master Summary"/>
    <hyperlink ref="A13" location="'Master Summary'!A1" display="Return To Master Summary"/>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249977111117893"/>
  </sheetPr>
  <dimension ref="A1:AB77"/>
  <sheetViews>
    <sheetView topLeftCell="G42" zoomScale="70" zoomScaleNormal="70" workbookViewId="0">
      <selection activeCell="R64" sqref="R64:R69"/>
    </sheetView>
  </sheetViews>
  <sheetFormatPr defaultColWidth="9.109375" defaultRowHeight="14.4"/>
  <cols>
    <col min="1" max="2" width="21.6640625" style="95" customWidth="1"/>
    <col min="3" max="3" width="25" style="95" customWidth="1"/>
    <col min="4" max="4" width="24.5546875" style="95" customWidth="1"/>
    <col min="5" max="5" width="21.6640625" style="330" customWidth="1"/>
    <col min="6" max="6" width="32.33203125" style="95" customWidth="1"/>
    <col min="7" max="7" width="21.6640625" style="95" customWidth="1"/>
    <col min="8" max="8" width="31" style="95" customWidth="1"/>
    <col min="9" max="11" width="17.33203125" style="95" customWidth="1"/>
    <col min="12" max="12" width="20" style="95" customWidth="1"/>
    <col min="13" max="13" width="26.109375" style="95" customWidth="1"/>
    <col min="14" max="14" width="20.33203125" style="95" customWidth="1"/>
    <col min="15" max="15" width="14.5546875" style="95" customWidth="1"/>
    <col min="16" max="16" width="6" style="95" customWidth="1"/>
    <col min="17" max="18" width="15.88671875" style="95" customWidth="1"/>
    <col min="19" max="19" width="17.109375" style="95" customWidth="1"/>
    <col min="20" max="21" width="17.33203125" style="95" customWidth="1"/>
    <col min="22" max="22" width="15" style="95" customWidth="1"/>
    <col min="23" max="23" width="15.109375" style="95" customWidth="1"/>
    <col min="24" max="24" width="14.5546875" style="95" customWidth="1"/>
    <col min="25" max="25" width="16.6640625" style="95" customWidth="1"/>
    <col min="26" max="26" width="16.44140625" style="95" customWidth="1"/>
    <col min="27" max="27" width="16.5546875" style="95" customWidth="1"/>
    <col min="28" max="28" width="14.33203125" style="95" customWidth="1"/>
    <col min="29" max="29" width="15.33203125" style="95" customWidth="1"/>
    <col min="30" max="16384" width="9.109375" style="95"/>
  </cols>
  <sheetData>
    <row r="1" spans="1:25" ht="15" thickBot="1"/>
    <row r="2" spans="1:25" ht="18">
      <c r="B2" s="1843" t="s">
        <v>1905</v>
      </c>
      <c r="C2" s="1844"/>
      <c r="D2" s="1844"/>
      <c r="E2" s="1844"/>
      <c r="F2" s="1844"/>
      <c r="G2" s="1844"/>
      <c r="H2" s="1844"/>
      <c r="I2" s="1844"/>
      <c r="J2" s="1844"/>
      <c r="K2" s="1844"/>
      <c r="L2" s="1844"/>
      <c r="M2" s="1844"/>
      <c r="N2" s="1845"/>
    </row>
    <row r="3" spans="1:25" ht="46.5" customHeight="1">
      <c r="B3" s="1994" t="s">
        <v>1909</v>
      </c>
      <c r="C3" s="1992" t="s">
        <v>1910</v>
      </c>
      <c r="D3" s="1849" t="s">
        <v>655</v>
      </c>
      <c r="E3" s="1849"/>
      <c r="F3" s="1849"/>
      <c r="G3" s="1849"/>
      <c r="H3" s="1849"/>
      <c r="I3" s="2000" t="s">
        <v>240</v>
      </c>
      <c r="J3" s="1849" t="s">
        <v>184</v>
      </c>
      <c r="K3" s="1849"/>
      <c r="L3" s="1849"/>
      <c r="M3" s="244" t="s">
        <v>303</v>
      </c>
      <c r="N3" s="1664" t="s">
        <v>1908</v>
      </c>
    </row>
    <row r="4" spans="1:25" ht="76.5" customHeight="1">
      <c r="B4" s="1995"/>
      <c r="C4" s="1993"/>
      <c r="D4" s="1627" t="s">
        <v>1903</v>
      </c>
      <c r="E4" s="1627" t="s">
        <v>1902</v>
      </c>
      <c r="F4" s="1627" t="s">
        <v>1917</v>
      </c>
      <c r="G4" s="1627" t="s">
        <v>1904</v>
      </c>
      <c r="H4" s="1627" t="s">
        <v>1916</v>
      </c>
      <c r="I4" s="2000"/>
      <c r="J4" s="232" t="s">
        <v>1907</v>
      </c>
      <c r="K4" s="232" t="s">
        <v>1906</v>
      </c>
      <c r="L4" s="1627" t="s">
        <v>1911</v>
      </c>
      <c r="M4" s="1627" t="s">
        <v>1912</v>
      </c>
      <c r="N4" s="248" t="s">
        <v>1945</v>
      </c>
    </row>
    <row r="5" spans="1:25" ht="15" customHeight="1">
      <c r="B5" s="1656" t="s">
        <v>199</v>
      </c>
      <c r="C5" s="230" t="s">
        <v>1887</v>
      </c>
      <c r="D5" s="1654">
        <f>Y47</f>
        <v>416.9323336958326</v>
      </c>
      <c r="E5" s="1654">
        <f>Y34</f>
        <v>416.9323336958326</v>
      </c>
      <c r="F5" s="507" t="s">
        <v>22</v>
      </c>
      <c r="G5" s="255">
        <f>X17</f>
        <v>595.72724878398867</v>
      </c>
      <c r="H5" s="507" t="s">
        <v>22</v>
      </c>
      <c r="I5" s="1661">
        <f>E18</f>
        <v>6225.002516632193</v>
      </c>
      <c r="J5" s="231">
        <f>K5</f>
        <v>178.79491508815607</v>
      </c>
      <c r="K5" s="231">
        <f>D18</f>
        <v>178.79491508815607</v>
      </c>
      <c r="L5" s="507" t="s">
        <v>22</v>
      </c>
      <c r="M5" s="231">
        <f>N18</f>
        <v>872.00652375348841</v>
      </c>
      <c r="N5" s="236">
        <f>O18</f>
        <v>1840.7277521104272</v>
      </c>
    </row>
    <row r="6" spans="1:25">
      <c r="B6" s="1656" t="s">
        <v>199</v>
      </c>
      <c r="C6" s="230" t="s">
        <v>1901</v>
      </c>
      <c r="D6" s="1654">
        <f>Y49</f>
        <v>789.64645456319158</v>
      </c>
      <c r="E6" s="1654">
        <f>Y36</f>
        <v>864.53702494435197</v>
      </c>
      <c r="F6" s="507" t="s">
        <v>22</v>
      </c>
      <c r="G6" s="255">
        <f>X19</f>
        <v>1014.3181657066723</v>
      </c>
      <c r="H6" s="507" t="s">
        <v>22</v>
      </c>
      <c r="I6" s="1661">
        <f>E20</f>
        <v>2756.4074882822474</v>
      </c>
      <c r="J6" s="231">
        <f>D33</f>
        <v>224.67171114348071</v>
      </c>
      <c r="K6" s="231">
        <f>D20</f>
        <v>149.78114076232032</v>
      </c>
      <c r="L6" s="507" t="s">
        <v>22</v>
      </c>
      <c r="M6" s="231">
        <f>N20</f>
        <v>740.33559264305143</v>
      </c>
      <c r="N6" s="236">
        <f>O20</f>
        <v>1565.5996633631216</v>
      </c>
    </row>
    <row r="7" spans="1:25" ht="26.4">
      <c r="B7" s="1656" t="s">
        <v>216</v>
      </c>
      <c r="C7" s="230" t="s">
        <v>1901</v>
      </c>
      <c r="D7" s="1654">
        <f>Y51</f>
        <v>980.23319070286709</v>
      </c>
      <c r="E7" s="1654">
        <f>Y38</f>
        <v>980.23319070286709</v>
      </c>
      <c r="F7" s="255">
        <f>$Z$64/T64</f>
        <v>1518.7271025345462</v>
      </c>
      <c r="G7" s="255">
        <f>X21</f>
        <v>1267.429943679763</v>
      </c>
      <c r="H7" s="1655">
        <f>AB64/T64</f>
        <v>1913.6226378777787</v>
      </c>
      <c r="I7" s="1661">
        <f>E22</f>
        <v>2935.4851284543261</v>
      </c>
      <c r="J7" s="231">
        <f>D35</f>
        <v>287.19675297689594</v>
      </c>
      <c r="K7" s="231">
        <f>D22</f>
        <v>287.19675297689594</v>
      </c>
      <c r="L7" s="231">
        <f>D45</f>
        <v>394.89553534323238</v>
      </c>
      <c r="M7" s="231">
        <f>N45</f>
        <v>1175.3053769157348</v>
      </c>
      <c r="N7" s="236">
        <f>O45</f>
        <v>1913.6226378777787</v>
      </c>
    </row>
    <row r="8" spans="1:25" ht="27.75" customHeight="1">
      <c r="B8" s="1656" t="s">
        <v>217</v>
      </c>
      <c r="C8" s="230" t="s">
        <v>1901</v>
      </c>
      <c r="D8" s="1654">
        <f>Y53</f>
        <v>1063.2655406068982</v>
      </c>
      <c r="E8" s="1654">
        <f>Y40</f>
        <v>1063.2655406068982</v>
      </c>
      <c r="F8" s="255">
        <f>$Z$66/T66</f>
        <v>1292.3281130796086</v>
      </c>
      <c r="G8" s="255">
        <f>X23</f>
        <v>1254.7300425914952</v>
      </c>
      <c r="H8" s="1655">
        <f>AB66/T66</f>
        <v>1443.4842988569228</v>
      </c>
      <c r="I8" s="1661">
        <f>E24</f>
        <v>3327.2174663307487</v>
      </c>
      <c r="J8" s="231">
        <f>D37</f>
        <v>191.46450198459706</v>
      </c>
      <c r="K8" s="231">
        <f>D24</f>
        <v>191.46450198459706</v>
      </c>
      <c r="L8" s="231">
        <f>D47</f>
        <v>151.15618577731394</v>
      </c>
      <c r="M8" s="231">
        <f>N47</f>
        <v>1585.619891915283</v>
      </c>
      <c r="N8" s="236">
        <f>O47</f>
        <v>1443.4842988569228</v>
      </c>
    </row>
    <row r="9" spans="1:25" ht="24">
      <c r="B9" s="1662" t="s">
        <v>218</v>
      </c>
      <c r="C9" s="230" t="s">
        <v>1901</v>
      </c>
      <c r="D9" s="1654">
        <f>Y55</f>
        <v>1102.060308182856</v>
      </c>
      <c r="E9" s="1654">
        <f>Y42</f>
        <v>1102.060308182856</v>
      </c>
      <c r="F9" s="255">
        <f>$Z$68/T68</f>
        <v>1202.5791717247696</v>
      </c>
      <c r="G9" s="255">
        <f>X25</f>
        <v>1145.1398211293902</v>
      </c>
      <c r="H9" s="1655">
        <f>AB68/T68</f>
        <v>1252.8386034957261</v>
      </c>
      <c r="I9" s="255">
        <f>E26</f>
        <v>4726.2615301751148</v>
      </c>
      <c r="J9" s="231">
        <f>D39</f>
        <v>43.079512946534123</v>
      </c>
      <c r="K9" s="231">
        <f>D26</f>
        <v>43.079512946534123</v>
      </c>
      <c r="L9" s="231">
        <f>D49</f>
        <v>50.25943177095656</v>
      </c>
      <c r="M9" s="231">
        <f>N49</f>
        <v>1595.6901874176669</v>
      </c>
      <c r="N9" s="236">
        <f>O49</f>
        <v>1252.8386034957261</v>
      </c>
    </row>
    <row r="10" spans="1:25" ht="23.25" customHeight="1" thickBot="1">
      <c r="B10" s="1663" t="s">
        <v>219</v>
      </c>
      <c r="C10" s="241" t="s">
        <v>1901</v>
      </c>
      <c r="D10" s="1657">
        <f>Y57</f>
        <v>1140.4062960381889</v>
      </c>
      <c r="E10" s="1657">
        <f>Y44</f>
        <v>1140.4062960381889</v>
      </c>
      <c r="F10" s="1665" t="s">
        <v>22</v>
      </c>
      <c r="G10" s="256">
        <f>X27</f>
        <v>1180.7933394255649</v>
      </c>
      <c r="H10" s="1665" t="s">
        <v>22</v>
      </c>
      <c r="I10" s="1659">
        <f>E28</f>
        <v>6069.3438314657069</v>
      </c>
      <c r="J10" s="242">
        <f>D41</f>
        <v>40.387043387376025</v>
      </c>
      <c r="K10" s="242">
        <f>D28</f>
        <v>40.387043387376025</v>
      </c>
      <c r="L10" s="1665" t="s">
        <v>22</v>
      </c>
      <c r="M10" s="242">
        <f>N28</f>
        <v>554.03775056788936</v>
      </c>
      <c r="N10" s="243">
        <f>O28</f>
        <v>1271.8334968975505</v>
      </c>
    </row>
    <row r="13" spans="1:25">
      <c r="A13" s="2001" t="s">
        <v>1897</v>
      </c>
      <c r="B13" s="2002"/>
      <c r="C13" s="2002"/>
      <c r="D13" s="2002"/>
      <c r="E13" s="2002"/>
      <c r="F13" s="2002"/>
      <c r="G13" s="2002"/>
      <c r="H13" s="2002"/>
      <c r="I13" s="2002"/>
      <c r="J13" s="2002"/>
      <c r="K13" s="2002"/>
      <c r="L13" s="2002"/>
      <c r="M13" s="2002"/>
      <c r="N13" s="2002"/>
      <c r="O13" s="2002"/>
      <c r="P13" s="2002"/>
      <c r="Q13" s="2002"/>
      <c r="R13" s="2002"/>
      <c r="S13" s="2002"/>
      <c r="T13" s="2002"/>
      <c r="U13" s="2002"/>
      <c r="V13" s="2002"/>
      <c r="W13" s="2002"/>
      <c r="X13" s="2002"/>
    </row>
    <row r="14" spans="1:25">
      <c r="A14" s="1950" t="s">
        <v>107</v>
      </c>
      <c r="B14" s="1950"/>
      <c r="C14" s="1950"/>
      <c r="D14" s="1950"/>
      <c r="E14" s="1968" t="s">
        <v>1882</v>
      </c>
      <c r="F14" s="1968"/>
      <c r="G14" s="1968"/>
      <c r="H14" s="1968"/>
      <c r="I14" s="1968"/>
      <c r="J14" s="1968"/>
      <c r="K14" s="1968"/>
      <c r="L14" s="1782" t="s">
        <v>1885</v>
      </c>
      <c r="M14" s="1783"/>
      <c r="N14" s="1783"/>
      <c r="O14" s="1784"/>
      <c r="Q14" s="1950" t="s">
        <v>1816</v>
      </c>
      <c r="R14" s="1950"/>
      <c r="S14" s="1950"/>
      <c r="T14" s="1950"/>
      <c r="U14" s="1950"/>
      <c r="V14" s="1950"/>
      <c r="W14" s="1950"/>
      <c r="X14" s="1950"/>
    </row>
    <row r="15" spans="1:25" s="85" customFormat="1" ht="53.25" customHeight="1">
      <c r="A15" s="1949" t="s">
        <v>211</v>
      </c>
      <c r="B15" s="1649" t="s">
        <v>1910</v>
      </c>
      <c r="C15" s="1949" t="s">
        <v>430</v>
      </c>
      <c r="D15" s="1949" t="s">
        <v>431</v>
      </c>
      <c r="E15" s="1970" t="s">
        <v>733</v>
      </c>
      <c r="F15" s="1971" t="s">
        <v>621</v>
      </c>
      <c r="G15" s="1971" t="s">
        <v>622</v>
      </c>
      <c r="H15" s="1971" t="s">
        <v>261</v>
      </c>
      <c r="I15" s="1972" t="s">
        <v>623</v>
      </c>
      <c r="J15" s="1972" t="s">
        <v>624</v>
      </c>
      <c r="K15" s="1972" t="s">
        <v>629</v>
      </c>
      <c r="L15" s="1973" t="s">
        <v>625</v>
      </c>
      <c r="M15" s="1969" t="s">
        <v>721</v>
      </c>
      <c r="N15" s="1969" t="s">
        <v>1877</v>
      </c>
      <c r="O15" s="1996" t="s">
        <v>1893</v>
      </c>
      <c r="Q15" s="141" t="s">
        <v>211</v>
      </c>
      <c r="R15" s="141"/>
      <c r="S15" s="141" t="s">
        <v>224</v>
      </c>
      <c r="T15" s="141" t="s">
        <v>206</v>
      </c>
      <c r="U15" s="141" t="s">
        <v>557</v>
      </c>
      <c r="V15" s="141" t="s">
        <v>432</v>
      </c>
      <c r="W15" s="141" t="s">
        <v>433</v>
      </c>
      <c r="X15" s="141" t="s">
        <v>434</v>
      </c>
      <c r="Y15" s="95"/>
    </row>
    <row r="16" spans="1:25" ht="13.5" customHeight="1">
      <c r="A16" s="1949"/>
      <c r="B16" s="1649"/>
      <c r="C16" s="1949"/>
      <c r="D16" s="1949"/>
      <c r="E16" s="1970"/>
      <c r="F16" s="1971"/>
      <c r="G16" s="1971"/>
      <c r="H16" s="1971"/>
      <c r="I16" s="1972"/>
      <c r="J16" s="1972"/>
      <c r="K16" s="1972"/>
      <c r="L16" s="1973"/>
      <c r="M16" s="1969"/>
      <c r="N16" s="1969"/>
      <c r="O16" s="1996"/>
      <c r="Q16" s="1950" t="s">
        <v>443</v>
      </c>
      <c r="R16" s="1950"/>
      <c r="S16" s="1950"/>
      <c r="T16" s="1950"/>
      <c r="U16" s="1950"/>
      <c r="V16" s="1950"/>
      <c r="W16" s="1950"/>
      <c r="X16" s="1950"/>
    </row>
    <row r="17" spans="1:25" ht="30" customHeight="1">
      <c r="A17" s="1950" t="s">
        <v>1884</v>
      </c>
      <c r="B17" s="1950"/>
      <c r="C17" s="1950"/>
      <c r="D17" s="1950"/>
      <c r="E17" s="1950"/>
      <c r="F17" s="1950"/>
      <c r="G17" s="1950"/>
      <c r="H17" s="1950"/>
      <c r="I17" s="1950"/>
      <c r="J17" s="1950"/>
      <c r="K17" s="1950"/>
      <c r="L17" s="1950"/>
      <c r="M17" s="1950"/>
      <c r="N17" s="1950"/>
      <c r="O17" s="1950"/>
      <c r="Q17" s="1948" t="s">
        <v>199</v>
      </c>
      <c r="R17" s="1990" t="s">
        <v>1887</v>
      </c>
      <c r="S17" s="1948">
        <v>60000</v>
      </c>
      <c r="T17" s="1955">
        <f>S17/12000</f>
        <v>5</v>
      </c>
      <c r="U17" s="1989">
        <v>16</v>
      </c>
      <c r="V17" s="1958">
        <f>('Equipment Results Matrix'!$T$162+'Equipment Results Matrix'!$R$155*S17+'Equipment Results Matrix'!$R$156*U17)*1.2</f>
        <v>2762.6173415999997</v>
      </c>
      <c r="W17" s="1959">
        <f>V17*Inflation!$D$3</f>
        <v>2978.6362439199434</v>
      </c>
      <c r="X17" s="1959">
        <f xml:space="preserve"> W17/T17</f>
        <v>595.72724878398867</v>
      </c>
    </row>
    <row r="18" spans="1:25" ht="15" customHeight="1">
      <c r="A18" s="1948" t="s">
        <v>199</v>
      </c>
      <c r="B18" s="1948" t="s">
        <v>1887</v>
      </c>
      <c r="C18" s="1962">
        <f>(V17-W34)/T17</f>
        <v>165.82821551999996</v>
      </c>
      <c r="D18" s="1986">
        <f>X17-Y34</f>
        <v>178.79491508815607</v>
      </c>
      <c r="E18" s="1963">
        <f>M58</f>
        <v>6225.002516632193</v>
      </c>
      <c r="F18" s="1964">
        <v>0.05</v>
      </c>
      <c r="G18" s="1965">
        <v>15</v>
      </c>
      <c r="H18" s="1966">
        <f>G18/3</f>
        <v>5</v>
      </c>
      <c r="I18" s="1952">
        <f>((1+$F18)^H18-1)/($F18*(1+$F18)^H18)</f>
        <v>4.3294766706308208</v>
      </c>
      <c r="J18" s="1951">
        <f>((1+$F18)^G18-1)/($F18*(1+$F18)^G18)</f>
        <v>10.379658038180596</v>
      </c>
      <c r="K18" s="1951">
        <f>I18/J18</f>
        <v>0.41711168659942827</v>
      </c>
      <c r="L18" s="1987">
        <f>(X34+E18)*K18</f>
        <v>3466.0580433266614</v>
      </c>
      <c r="M18" s="1953">
        <f>L18+(W17-X34)</f>
        <v>4360.0326187674418</v>
      </c>
      <c r="N18" s="1953">
        <f>M18/T17</f>
        <v>872.00652375348841</v>
      </c>
      <c r="O18" s="1959">
        <f>(E18+W17)/T17</f>
        <v>1840.7277521104272</v>
      </c>
      <c r="Q18" s="1948"/>
      <c r="R18" s="1979"/>
      <c r="S18" s="1948"/>
      <c r="T18" s="1955"/>
      <c r="U18" s="1989"/>
      <c r="V18" s="1958"/>
      <c r="W18" s="1959"/>
      <c r="X18" s="1959"/>
    </row>
    <row r="19" spans="1:25" ht="15" customHeight="1">
      <c r="A19" s="1948"/>
      <c r="B19" s="1948"/>
      <c r="C19" s="1962"/>
      <c r="D19" s="1986"/>
      <c r="E19" s="1963"/>
      <c r="F19" s="1964"/>
      <c r="G19" s="1965"/>
      <c r="H19" s="1966"/>
      <c r="I19" s="1952"/>
      <c r="J19" s="1951"/>
      <c r="K19" s="1951"/>
      <c r="L19" s="1952"/>
      <c r="M19" s="1953"/>
      <c r="N19" s="1953"/>
      <c r="O19" s="1959"/>
      <c r="Q19" s="1948" t="s">
        <v>199</v>
      </c>
      <c r="R19" s="1990" t="s">
        <v>1888</v>
      </c>
      <c r="S19" s="1948">
        <v>60000</v>
      </c>
      <c r="T19" s="1955">
        <f>S19/12000</f>
        <v>5</v>
      </c>
      <c r="U19" s="1989">
        <v>16</v>
      </c>
      <c r="V19" s="1958">
        <f>('Equipment Results Matrix'!$T$218+'Equipment Results Matrix'!$R$211*U19+'Equipment Results Matrix'!$R$212*$S19+'Equipment Results Matrix'!$R$213+'Equipment Results Matrix'!$R$215+'Equipment Results Matrix'!$R$217)*1.2</f>
        <v>4703.7850966209971</v>
      </c>
      <c r="W19" s="1959">
        <f>V19*Inflation!$D$3</f>
        <v>5071.5908285333617</v>
      </c>
      <c r="X19" s="1959">
        <f xml:space="preserve"> W19/T19</f>
        <v>1014.3181657066723</v>
      </c>
    </row>
    <row r="20" spans="1:25" ht="15" customHeight="1">
      <c r="A20" s="1948"/>
      <c r="B20" s="1948" t="s">
        <v>1888</v>
      </c>
      <c r="C20" s="1962">
        <f>(V19-W36)/T19</f>
        <v>138.91859999999988</v>
      </c>
      <c r="D20" s="1986">
        <f>X19-Y36</f>
        <v>149.78114076232032</v>
      </c>
      <c r="E20" s="1963">
        <f>M59</f>
        <v>2756.4074882822474</v>
      </c>
      <c r="F20" s="1964">
        <v>0.05</v>
      </c>
      <c r="G20" s="1965">
        <v>15</v>
      </c>
      <c r="H20" s="1966">
        <f>G20/3</f>
        <v>5</v>
      </c>
      <c r="I20" s="1952">
        <f>((1+$F20)^H20-1)/($F20*(1+$F20)^H20)</f>
        <v>4.3294766706308208</v>
      </c>
      <c r="J20" s="1951">
        <f>((1+$F20)^G20-1)/($F20*(1+$F20)^G20)</f>
        <v>10.379658038180596</v>
      </c>
      <c r="K20" s="1951">
        <f>I20/J20</f>
        <v>0.41711168659942827</v>
      </c>
      <c r="L20" s="1952">
        <f>(X36+E20)*K20</f>
        <v>2952.7722594036554</v>
      </c>
      <c r="M20" s="1953">
        <f>L20+(W19-X36)</f>
        <v>3701.677963215257</v>
      </c>
      <c r="N20" s="1953">
        <f>M20/T19</f>
        <v>740.33559264305143</v>
      </c>
      <c r="O20" s="1959">
        <f t="shared" ref="O20" si="0">(E20+W19)/T19</f>
        <v>1565.5996633631216</v>
      </c>
      <c r="Q20" s="1948"/>
      <c r="R20" s="1979"/>
      <c r="S20" s="1948"/>
      <c r="T20" s="1955"/>
      <c r="U20" s="1989"/>
      <c r="V20" s="1958"/>
      <c r="W20" s="1959"/>
      <c r="X20" s="1959"/>
    </row>
    <row r="21" spans="1:25" ht="15" customHeight="1">
      <c r="A21" s="1948"/>
      <c r="B21" s="1948"/>
      <c r="C21" s="1962"/>
      <c r="D21" s="1986"/>
      <c r="E21" s="1963"/>
      <c r="F21" s="1964"/>
      <c r="G21" s="1965"/>
      <c r="H21" s="1966"/>
      <c r="I21" s="1952"/>
      <c r="J21" s="1951"/>
      <c r="K21" s="1951"/>
      <c r="L21" s="1952"/>
      <c r="M21" s="1953"/>
      <c r="N21" s="1953"/>
      <c r="O21" s="1959"/>
      <c r="Q21" s="1954" t="s">
        <v>216</v>
      </c>
      <c r="R21" s="1948" t="s">
        <v>220</v>
      </c>
      <c r="S21" s="1948">
        <f>(65000+135000)/2</f>
        <v>100000</v>
      </c>
      <c r="T21" s="1955">
        <f>S21/12000</f>
        <v>8.3333333333333339</v>
      </c>
      <c r="U21" s="1957">
        <v>12</v>
      </c>
      <c r="V21" s="1958">
        <f>('Equipment Results Matrix'!$T$231+'Equipment Results Matrix'!$R$224*U21+'Equipment Results Matrix'!$R$225*$S21+'Equipment Results Matrix'!$R$226+'Equipment Results Matrix'!$R$230+'Equipment Results Matrix'!$R$228)*1.2</f>
        <v>9795.9369516279094</v>
      </c>
      <c r="W21" s="1959">
        <f>V21*Inflation!$D$3</f>
        <v>10561.916197331358</v>
      </c>
      <c r="X21" s="1959">
        <f xml:space="preserve"> W21/T21</f>
        <v>1267.429943679763</v>
      </c>
    </row>
    <row r="22" spans="1:25" ht="15" customHeight="1">
      <c r="A22" s="1954" t="s">
        <v>216</v>
      </c>
      <c r="B22" s="1948" t="s">
        <v>220</v>
      </c>
      <c r="C22" s="1962">
        <f>(V21-W38)/T21</f>
        <v>266.36845363200001</v>
      </c>
      <c r="D22" s="1986">
        <f>X21-Y38</f>
        <v>287.19675297689594</v>
      </c>
      <c r="E22" s="1963">
        <f>M60</f>
        <v>2935.4851284543261</v>
      </c>
      <c r="F22" s="1964">
        <v>0.05</v>
      </c>
      <c r="G22" s="1965">
        <v>15</v>
      </c>
      <c r="H22" s="1966">
        <f>G22/3</f>
        <v>5</v>
      </c>
      <c r="I22" s="1952">
        <f>((1+$F22)^H22-1)/($F22*(1+$F22)^H22)</f>
        <v>4.3294766706308208</v>
      </c>
      <c r="J22" s="1951">
        <f>((1+$F22)^G22-1)/($F22*(1+$F22)^G22)</f>
        <v>10.379658038180596</v>
      </c>
      <c r="K22" s="1951">
        <f>I22/J22</f>
        <v>0.41711168659942827</v>
      </c>
      <c r="L22" s="1952">
        <f>(X38+E22)*K22</f>
        <v>4631.6478148738897</v>
      </c>
      <c r="M22" s="1953">
        <f>L22+(W21-X38)</f>
        <v>7024.9540896813551</v>
      </c>
      <c r="N22" s="1953">
        <f>M22/T21</f>
        <v>842.99449076176256</v>
      </c>
      <c r="O22" s="1959">
        <f t="shared" ref="O22" si="1">(E22+W21)/T21</f>
        <v>1619.6881590942819</v>
      </c>
      <c r="Q22" s="1954"/>
      <c r="R22" s="1948"/>
      <c r="S22" s="1948"/>
      <c r="T22" s="1955"/>
      <c r="U22" s="1957"/>
      <c r="V22" s="1958"/>
      <c r="W22" s="1959"/>
      <c r="X22" s="1959"/>
    </row>
    <row r="23" spans="1:25" ht="15" customHeight="1">
      <c r="A23" s="1954"/>
      <c r="B23" s="1948"/>
      <c r="C23" s="1962"/>
      <c r="D23" s="1986"/>
      <c r="E23" s="1963"/>
      <c r="F23" s="1964"/>
      <c r="G23" s="1965"/>
      <c r="H23" s="1966"/>
      <c r="I23" s="1952"/>
      <c r="J23" s="1951"/>
      <c r="K23" s="1951"/>
      <c r="L23" s="1952"/>
      <c r="M23" s="1953"/>
      <c r="N23" s="1953"/>
      <c r="O23" s="1959"/>
      <c r="Q23" s="1954" t="s">
        <v>217</v>
      </c>
      <c r="R23" s="1948" t="s">
        <v>220</v>
      </c>
      <c r="S23" s="1948">
        <v>187500</v>
      </c>
      <c r="T23" s="1955">
        <f>S23/12000</f>
        <v>15.625</v>
      </c>
      <c r="U23" s="1957">
        <v>12</v>
      </c>
      <c r="V23" s="1958">
        <f>('Equipment Results Matrix'!$T$231+'Equipment Results Matrix'!$R$224*U23+'Equipment Results Matrix'!$R$225*$S23+'Equipment Results Matrix'!$R$226+'Equipment Results Matrix'!$R$230+'Equipment Results Matrix'!$R$228)*1.2</f>
        <v>18183.336951627909</v>
      </c>
      <c r="W23" s="1959">
        <f>V23*Inflation!$D$3</f>
        <v>19605.156915492113</v>
      </c>
      <c r="X23" s="1959">
        <f xml:space="preserve"> W23/T23</f>
        <v>1254.7300425914952</v>
      </c>
    </row>
    <row r="24" spans="1:25" ht="15" customHeight="1">
      <c r="A24" s="1954" t="s">
        <v>217</v>
      </c>
      <c r="B24" s="1948" t="s">
        <v>220</v>
      </c>
      <c r="C24" s="1962">
        <f>(V23-W40)/T23</f>
        <v>177.57896908799978</v>
      </c>
      <c r="D24" s="1986">
        <f>X23-Y40</f>
        <v>191.46450198459706</v>
      </c>
      <c r="E24" s="1963">
        <f>M61</f>
        <v>3327.2174663307487</v>
      </c>
      <c r="F24" s="1964">
        <v>0.05</v>
      </c>
      <c r="G24" s="1965">
        <v>15</v>
      </c>
      <c r="H24" s="1966">
        <f>G24/3</f>
        <v>5</v>
      </c>
      <c r="I24" s="1952">
        <f>((1+$F24)^H24-1)/($F24*(1+$F24)^H24)</f>
        <v>4.3294766706308208</v>
      </c>
      <c r="J24" s="1951">
        <f>((1+$F24)^G24-1)/($F24*(1+$F24)^G24)</f>
        <v>10.379658038180596</v>
      </c>
      <c r="K24" s="1951">
        <f>I24/J24</f>
        <v>0.41711168659942827</v>
      </c>
      <c r="L24" s="1952">
        <f>(X40+E24)*K24</f>
        <v>8317.5163350892362</v>
      </c>
      <c r="M24" s="1953">
        <f>L24+(W23-X40)</f>
        <v>11309.149178598564</v>
      </c>
      <c r="N24" s="1953">
        <f>M24/T23</f>
        <v>723.78554743030804</v>
      </c>
      <c r="O24" s="1959">
        <f t="shared" ref="O24" si="2">(E24+W23)/T23</f>
        <v>1467.6719604366631</v>
      </c>
      <c r="Q24" s="1954"/>
      <c r="R24" s="1948"/>
      <c r="S24" s="1948"/>
      <c r="T24" s="1955"/>
      <c r="U24" s="1957"/>
      <c r="V24" s="1958"/>
      <c r="W24" s="1959"/>
      <c r="X24" s="1959"/>
    </row>
    <row r="25" spans="1:25" ht="15" customHeight="1">
      <c r="A25" s="1954"/>
      <c r="B25" s="1948"/>
      <c r="C25" s="1962"/>
      <c r="D25" s="1986"/>
      <c r="E25" s="1963"/>
      <c r="F25" s="1964"/>
      <c r="G25" s="1965"/>
      <c r="H25" s="1966"/>
      <c r="I25" s="1952"/>
      <c r="J25" s="1951"/>
      <c r="K25" s="1951"/>
      <c r="L25" s="1952"/>
      <c r="M25" s="1953"/>
      <c r="N25" s="1953"/>
      <c r="O25" s="1959"/>
      <c r="Q25" s="1954" t="s">
        <v>218</v>
      </c>
      <c r="R25" s="1948" t="s">
        <v>220</v>
      </c>
      <c r="S25" s="1948">
        <f>(240000+760000)/2</f>
        <v>500000</v>
      </c>
      <c r="T25" s="1955">
        <f>S25/12000</f>
        <v>41.666666666666664</v>
      </c>
      <c r="U25" s="1957">
        <v>10.6</v>
      </c>
      <c r="V25" s="1958">
        <f>('Equipment Results Matrix'!$T$231+'Equipment Results Matrix'!$R$224*U25+'Equipment Results Matrix'!$R$225*$S25+'Equipment Results Matrix'!$R$226+'Equipment Results Matrix'!$R$230+'Equipment Results Matrix'!$R$228)*1.2</f>
        <v>44253.797002827901</v>
      </c>
      <c r="W25" s="1959">
        <f>V25*Inflation!$D$3</f>
        <v>47714.15921372459</v>
      </c>
      <c r="X25" s="1959">
        <f xml:space="preserve"> W25/T25</f>
        <v>1145.1398211293902</v>
      </c>
    </row>
    <row r="26" spans="1:25" ht="15" customHeight="1">
      <c r="A26" s="1954" t="s">
        <v>218</v>
      </c>
      <c r="B26" s="1948" t="s">
        <v>220</v>
      </c>
      <c r="C26" s="1962">
        <f>(V25-W42)/T25</f>
        <v>39.955268044799915</v>
      </c>
      <c r="D26" s="1986">
        <f>X25-Y42</f>
        <v>43.079512946534123</v>
      </c>
      <c r="E26" s="1963">
        <f>M62</f>
        <v>4726.2615301751148</v>
      </c>
      <c r="F26" s="1964">
        <v>0.05</v>
      </c>
      <c r="G26" s="1965">
        <v>15</v>
      </c>
      <c r="H26" s="1966">
        <f>G26/3</f>
        <v>5</v>
      </c>
      <c r="I26" s="1952">
        <f>((1+$F26)^H26-1)/($F26*(1+$F26)^H26)</f>
        <v>4.3294766706308208</v>
      </c>
      <c r="J26" s="1951">
        <f>((1+$F26)^G26-1)/($F26*(1+$F26)^G26)</f>
        <v>10.379658038180596</v>
      </c>
      <c r="K26" s="1951">
        <f>I26/J26</f>
        <v>0.41711168659942827</v>
      </c>
      <c r="L26" s="1952">
        <f>(X42+E26)*K26</f>
        <v>21124.8053298462</v>
      </c>
      <c r="M26" s="1953">
        <f>L26+(W25-X42)</f>
        <v>22919.785035951794</v>
      </c>
      <c r="N26" s="1953">
        <f>M26/T25</f>
        <v>550.07484086284308</v>
      </c>
      <c r="O26" s="1959">
        <f t="shared" ref="O26" si="3">(E26+W25)/T25</f>
        <v>1258.5700978535929</v>
      </c>
      <c r="Q26" s="1954"/>
      <c r="R26" s="1948"/>
      <c r="S26" s="1948"/>
      <c r="T26" s="1955"/>
      <c r="U26" s="1957"/>
      <c r="V26" s="1958"/>
      <c r="W26" s="1959"/>
      <c r="X26" s="1959"/>
    </row>
    <row r="27" spans="1:25">
      <c r="A27" s="1954"/>
      <c r="B27" s="1948"/>
      <c r="C27" s="1962"/>
      <c r="D27" s="1986"/>
      <c r="E27" s="1963"/>
      <c r="F27" s="1964"/>
      <c r="G27" s="1965"/>
      <c r="H27" s="1966"/>
      <c r="I27" s="1952"/>
      <c r="J27" s="1951"/>
      <c r="K27" s="1951"/>
      <c r="L27" s="1952"/>
      <c r="M27" s="1953"/>
      <c r="N27" s="1953"/>
      <c r="O27" s="1959"/>
      <c r="Q27" s="1954" t="s">
        <v>219</v>
      </c>
      <c r="R27" s="1948" t="s">
        <v>220</v>
      </c>
      <c r="S27" s="1948">
        <v>800000</v>
      </c>
      <c r="T27" s="1955">
        <f>S27/12000</f>
        <v>66.666666666666671</v>
      </c>
      <c r="U27" s="1957">
        <v>10.6</v>
      </c>
      <c r="V27" s="1958">
        <f>('Equipment Results Matrix'!$T$231+'Equipment Results Matrix'!$R$224*U27+'Equipment Results Matrix'!$R$225*$S27+'Equipment Results Matrix'!$R$226+'Equipment Results Matrix'!$R$230+'Equipment Results Matrix'!$R$228)*1.2</f>
        <v>73010.597002827912</v>
      </c>
      <c r="W27" s="1959">
        <f>V27*Inflation!$D$3</f>
        <v>78719.555961704333</v>
      </c>
      <c r="X27" s="1959">
        <f xml:space="preserve"> W27/T27</f>
        <v>1180.7933394255649</v>
      </c>
    </row>
    <row r="28" spans="1:25" ht="15" customHeight="1">
      <c r="A28" s="1954" t="s">
        <v>219</v>
      </c>
      <c r="B28" s="1948" t="s">
        <v>220</v>
      </c>
      <c r="C28" s="1962">
        <f>(V27-W44)/T27</f>
        <v>37.458063792000026</v>
      </c>
      <c r="D28" s="1986">
        <f>X27-Y44</f>
        <v>40.387043387376025</v>
      </c>
      <c r="E28" s="1963">
        <f>M63</f>
        <v>6069.3438314657069</v>
      </c>
      <c r="F28" s="1964">
        <v>0.05</v>
      </c>
      <c r="G28" s="1965">
        <v>15</v>
      </c>
      <c r="H28" s="1966">
        <f>G28/3</f>
        <v>5</v>
      </c>
      <c r="I28" s="1952">
        <f>((1+$F28)^H28-1)/($F28*(1+$F28)^H28)</f>
        <v>4.3294766706308208</v>
      </c>
      <c r="J28" s="1951">
        <f>((1+$F28)^G28-1)/($F28*(1+$F28)^G28)</f>
        <v>10.379658038180596</v>
      </c>
      <c r="K28" s="1951">
        <f>I28/J28</f>
        <v>0.41711168659942827</v>
      </c>
      <c r="L28" s="1952">
        <f>(X44+E28)*K28</f>
        <v>34243.380478700892</v>
      </c>
      <c r="M28" s="1953">
        <f>L28+(W27-X44)</f>
        <v>36935.850037859294</v>
      </c>
      <c r="N28" s="1953">
        <f>M28/T27</f>
        <v>554.03775056788936</v>
      </c>
      <c r="O28" s="1959">
        <f t="shared" ref="O28" si="4">(E28+W27)/T27</f>
        <v>1271.8334968975505</v>
      </c>
      <c r="Q28" s="1954"/>
      <c r="R28" s="1948"/>
      <c r="S28" s="1948"/>
      <c r="T28" s="1955"/>
      <c r="U28" s="1957"/>
      <c r="V28" s="1958"/>
      <c r="W28" s="1959"/>
      <c r="X28" s="1959"/>
    </row>
    <row r="29" spans="1:25" ht="15" customHeight="1">
      <c r="A29" s="1954"/>
      <c r="B29" s="1948"/>
      <c r="C29" s="1962"/>
      <c r="D29" s="1986"/>
      <c r="E29" s="1963"/>
      <c r="F29" s="1964"/>
      <c r="G29" s="1965"/>
      <c r="H29" s="1966"/>
      <c r="I29" s="1952"/>
      <c r="J29" s="1951"/>
      <c r="K29" s="1951"/>
      <c r="L29" s="1952"/>
      <c r="M29" s="1953"/>
      <c r="N29" s="1953"/>
      <c r="O29" s="1959"/>
    </row>
    <row r="30" spans="1:25" ht="36" customHeight="1">
      <c r="A30" s="1950" t="s">
        <v>1889</v>
      </c>
      <c r="B30" s="1950"/>
      <c r="C30" s="1950"/>
      <c r="D30" s="1950"/>
      <c r="E30" s="1950"/>
      <c r="F30" s="1950"/>
      <c r="G30" s="1950"/>
      <c r="H30" s="1950"/>
      <c r="I30" s="1950"/>
      <c r="J30" s="1950"/>
      <c r="K30" s="1950"/>
      <c r="L30" s="1950"/>
      <c r="M30" s="1950"/>
      <c r="N30" s="1950"/>
      <c r="O30" s="1950"/>
    </row>
    <row r="31" spans="1:25" ht="15" customHeight="1">
      <c r="A31" s="1948" t="s">
        <v>199</v>
      </c>
      <c r="B31" s="1948" t="s">
        <v>1887</v>
      </c>
      <c r="C31" s="1750" t="s">
        <v>1890</v>
      </c>
      <c r="D31" s="1750"/>
      <c r="E31" s="1750"/>
      <c r="F31" s="1750"/>
      <c r="G31" s="1750"/>
      <c r="H31" s="1750"/>
      <c r="I31" s="1750"/>
      <c r="J31" s="1750"/>
      <c r="K31" s="1750"/>
      <c r="L31" s="1750"/>
      <c r="M31" s="1750"/>
      <c r="N31" s="1750"/>
      <c r="O31" s="1958">
        <f>(E18+W17)/T17</f>
        <v>1840.7277521104272</v>
      </c>
      <c r="Q31" s="1950" t="s">
        <v>1805</v>
      </c>
      <c r="R31" s="1950"/>
      <c r="S31" s="1950"/>
      <c r="T31" s="1950"/>
      <c r="U31" s="1950"/>
      <c r="V31" s="1950"/>
      <c r="W31" s="1950"/>
      <c r="X31" s="1950"/>
      <c r="Y31" s="1950"/>
    </row>
    <row r="32" spans="1:25" ht="15" customHeight="1">
      <c r="A32" s="1948"/>
      <c r="B32" s="1948"/>
      <c r="C32" s="1750"/>
      <c r="D32" s="1750"/>
      <c r="E32" s="1750"/>
      <c r="F32" s="1750"/>
      <c r="G32" s="1750"/>
      <c r="H32" s="1750"/>
      <c r="I32" s="1750"/>
      <c r="J32" s="1750"/>
      <c r="K32" s="1750"/>
      <c r="L32" s="1750"/>
      <c r="M32" s="1750"/>
      <c r="N32" s="1750"/>
      <c r="O32" s="1958"/>
      <c r="Q32" s="141" t="s">
        <v>211</v>
      </c>
      <c r="R32" s="141"/>
      <c r="S32" s="141" t="s">
        <v>435</v>
      </c>
      <c r="T32" s="141" t="s">
        <v>206</v>
      </c>
      <c r="U32" s="141" t="s">
        <v>213</v>
      </c>
      <c r="V32" s="141" t="s">
        <v>436</v>
      </c>
      <c r="W32" s="141" t="s">
        <v>142</v>
      </c>
      <c r="X32" s="141" t="s">
        <v>426</v>
      </c>
      <c r="Y32" s="141" t="s">
        <v>437</v>
      </c>
    </row>
    <row r="33" spans="1:25" ht="15" customHeight="1">
      <c r="A33" s="1948"/>
      <c r="B33" s="1948" t="s">
        <v>1888</v>
      </c>
      <c r="C33" s="1958">
        <f>(V19-W49)/T19</f>
        <v>208.37790000000004</v>
      </c>
      <c r="D33" s="1988">
        <f>X19-Y49</f>
        <v>224.67171114348071</v>
      </c>
      <c r="E33" s="1963">
        <f>M59</f>
        <v>2756.4074882822474</v>
      </c>
      <c r="F33" s="1964">
        <v>0.05</v>
      </c>
      <c r="G33" s="1965">
        <v>15</v>
      </c>
      <c r="H33" s="1966">
        <f>G33/3</f>
        <v>5</v>
      </c>
      <c r="I33" s="1952">
        <f>((1+$F33)^H33-1)/($F33*(1+$F33)^H33)</f>
        <v>4.3294766706308208</v>
      </c>
      <c r="J33" s="1951">
        <f>((1+$F33)^G33-1)/($F33*(1+$F33)^G33)</f>
        <v>10.379658038180596</v>
      </c>
      <c r="K33" s="1951">
        <f>I33/J33</f>
        <v>0.41711168659942827</v>
      </c>
      <c r="L33" s="1952">
        <f>(X49+E20)*K20</f>
        <v>2796.5835987932605</v>
      </c>
      <c r="M33" s="1953">
        <f>L33+(W19-X49)</f>
        <v>3919.9421545106643</v>
      </c>
      <c r="N33" s="1959">
        <f>M33/T19</f>
        <v>783.9884309021329</v>
      </c>
      <c r="O33" s="1958">
        <f>(E33+W19)/T19</f>
        <v>1565.5996633631216</v>
      </c>
      <c r="Q33" s="1950" t="s">
        <v>438</v>
      </c>
      <c r="R33" s="1950"/>
      <c r="S33" s="1950"/>
      <c r="T33" s="1950"/>
      <c r="U33" s="1950"/>
      <c r="V33" s="1950"/>
      <c r="W33" s="1950"/>
      <c r="X33" s="1950"/>
      <c r="Y33" s="1950"/>
    </row>
    <row r="34" spans="1:25" ht="15" customHeight="1">
      <c r="A34" s="1948"/>
      <c r="B34" s="1948"/>
      <c r="C34" s="1958"/>
      <c r="D34" s="1988"/>
      <c r="E34" s="1963"/>
      <c r="F34" s="1964"/>
      <c r="G34" s="1965"/>
      <c r="H34" s="1966"/>
      <c r="I34" s="1952"/>
      <c r="J34" s="1951"/>
      <c r="K34" s="1951"/>
      <c r="L34" s="1952"/>
      <c r="M34" s="1953"/>
      <c r="N34" s="1959"/>
      <c r="O34" s="1958"/>
      <c r="Q34" s="1948" t="s">
        <v>199</v>
      </c>
      <c r="R34" s="1990" t="s">
        <v>1887</v>
      </c>
      <c r="S34" s="1948">
        <v>60000</v>
      </c>
      <c r="T34" s="1974">
        <f>S34/12000</f>
        <v>5</v>
      </c>
      <c r="U34" s="1978" t="s">
        <v>214</v>
      </c>
      <c r="V34" s="1984">
        <v>13</v>
      </c>
      <c r="W34" s="1980">
        <f>('Equipment Results Matrix'!$T$162+'Equipment Results Matrix'!$R$155*S34+'Equipment Results Matrix'!$R$156*V34)*1.2</f>
        <v>1933.4762639999999</v>
      </c>
      <c r="X34" s="1960">
        <f>W34*Inflation!$D$3</f>
        <v>2084.6616684791629</v>
      </c>
      <c r="Y34" s="1959">
        <f xml:space="preserve"> X34/T34</f>
        <v>416.9323336958326</v>
      </c>
    </row>
    <row r="35" spans="1:25" ht="15" customHeight="1">
      <c r="A35" s="1954" t="s">
        <v>216</v>
      </c>
      <c r="B35" s="1948" t="s">
        <v>220</v>
      </c>
      <c r="C35" s="1958">
        <f>(V21-W51)/T21</f>
        <v>266.36845363200001</v>
      </c>
      <c r="D35" s="1988">
        <f>X21-Y51</f>
        <v>287.19675297689594</v>
      </c>
      <c r="E35" s="1963">
        <f>M60</f>
        <v>2935.4851284543261</v>
      </c>
      <c r="F35" s="1964">
        <v>0.05</v>
      </c>
      <c r="G35" s="1965">
        <v>15</v>
      </c>
      <c r="H35" s="1966">
        <f>G35/3</f>
        <v>5</v>
      </c>
      <c r="I35" s="1952">
        <f>((1+$F35)^H35-1)/($F35*(1+$F35)^H35)</f>
        <v>4.3294766706308208</v>
      </c>
      <c r="J35" s="1951">
        <f>((1+$F35)^G35-1)/($F35*(1+$F35)^G35)</f>
        <v>10.379658038180596</v>
      </c>
      <c r="K35" s="1951">
        <f>I35/J35</f>
        <v>0.41711168659942827</v>
      </c>
      <c r="L35" s="1952">
        <f>(X51+E22)*K22</f>
        <v>4631.6478148738897</v>
      </c>
      <c r="M35" s="1953">
        <f>L35+(W21-X51)</f>
        <v>7024.9540896813551</v>
      </c>
      <c r="N35" s="1959">
        <f>M35/T21</f>
        <v>842.99449076176256</v>
      </c>
      <c r="O35" s="1958">
        <f t="shared" ref="O35" si="5">(E35+W21)/T21</f>
        <v>1619.6881590942819</v>
      </c>
      <c r="Q35" s="1948"/>
      <c r="R35" s="1979"/>
      <c r="S35" s="1948"/>
      <c r="T35" s="1975"/>
      <c r="U35" s="1979"/>
      <c r="V35" s="1985"/>
      <c r="W35" s="1981"/>
      <c r="X35" s="1961"/>
      <c r="Y35" s="1959"/>
    </row>
    <row r="36" spans="1:25" ht="15" customHeight="1">
      <c r="A36" s="1954"/>
      <c r="B36" s="1948"/>
      <c r="C36" s="1958"/>
      <c r="D36" s="1988"/>
      <c r="E36" s="1963"/>
      <c r="F36" s="1964"/>
      <c r="G36" s="1965"/>
      <c r="H36" s="1966"/>
      <c r="I36" s="1952"/>
      <c r="J36" s="1951"/>
      <c r="K36" s="1951"/>
      <c r="L36" s="1952"/>
      <c r="M36" s="1953"/>
      <c r="N36" s="1959"/>
      <c r="O36" s="1958"/>
      <c r="Q36" s="1948" t="s">
        <v>199</v>
      </c>
      <c r="R36" s="1990" t="s">
        <v>1888</v>
      </c>
      <c r="S36" s="1948">
        <v>60000</v>
      </c>
      <c r="T36" s="1974">
        <f>S36/12000</f>
        <v>5</v>
      </c>
      <c r="U36" s="1978" t="s">
        <v>215</v>
      </c>
      <c r="V36" s="1984">
        <v>14</v>
      </c>
      <c r="W36" s="1980">
        <f>('Equipment Results Matrix'!$T$218+'Equipment Results Matrix'!$R$211*V36+'Equipment Results Matrix'!$R$212*$S36+'Equipment Results Matrix'!$R$213+'Equipment Results Matrix'!$R$215+'Equipment Results Matrix'!$R$217)*1.2</f>
        <v>4009.1920966209977</v>
      </c>
      <c r="X36" s="1960">
        <f>W36*Inflation!$D$3</f>
        <v>4322.6851247217601</v>
      </c>
      <c r="Y36" s="1959">
        <f xml:space="preserve"> X36/T36</f>
        <v>864.53702494435197</v>
      </c>
    </row>
    <row r="37" spans="1:25" ht="15" customHeight="1">
      <c r="A37" s="1954" t="s">
        <v>217</v>
      </c>
      <c r="B37" s="1948" t="s">
        <v>220</v>
      </c>
      <c r="C37" s="1958">
        <f>(V23-W53)/T23</f>
        <v>177.57896908799978</v>
      </c>
      <c r="D37" s="1988">
        <f>X23-Y53</f>
        <v>191.46450198459706</v>
      </c>
      <c r="E37" s="1963">
        <f>M61</f>
        <v>3327.2174663307487</v>
      </c>
      <c r="F37" s="1964">
        <v>0.05</v>
      </c>
      <c r="G37" s="1965">
        <v>15</v>
      </c>
      <c r="H37" s="1966">
        <f>G37/3</f>
        <v>5</v>
      </c>
      <c r="I37" s="1952">
        <f>((1+$F37)^H37-1)/($F37*(1+$F37)^H37)</f>
        <v>4.3294766706308208</v>
      </c>
      <c r="J37" s="1951">
        <f>((1+$F37)^G37-1)/($F37*(1+$F37)^G37)</f>
        <v>10.379658038180596</v>
      </c>
      <c r="K37" s="1951">
        <f>I37/J37</f>
        <v>0.41711168659942827</v>
      </c>
      <c r="L37" s="1952">
        <f>(X53+E24)*K24</f>
        <v>8317.5163350892362</v>
      </c>
      <c r="M37" s="1953">
        <f>L37+(W23-X53)</f>
        <v>11309.149178598564</v>
      </c>
      <c r="N37" s="1959">
        <f>M37/T23</f>
        <v>723.78554743030804</v>
      </c>
      <c r="O37" s="1958">
        <f t="shared" ref="O37" si="6">(E37+W23)/T23</f>
        <v>1467.6719604366631</v>
      </c>
      <c r="Q37" s="1948"/>
      <c r="R37" s="1979"/>
      <c r="S37" s="1948"/>
      <c r="T37" s="1975"/>
      <c r="U37" s="1979"/>
      <c r="V37" s="1985"/>
      <c r="W37" s="1981"/>
      <c r="X37" s="1961"/>
      <c r="Y37" s="1959"/>
    </row>
    <row r="38" spans="1:25" ht="15" customHeight="1">
      <c r="A38" s="1954"/>
      <c r="B38" s="1948"/>
      <c r="C38" s="1958"/>
      <c r="D38" s="1988"/>
      <c r="E38" s="1963"/>
      <c r="F38" s="1964"/>
      <c r="G38" s="1965"/>
      <c r="H38" s="1966"/>
      <c r="I38" s="1952"/>
      <c r="J38" s="1951"/>
      <c r="K38" s="1951"/>
      <c r="L38" s="1952"/>
      <c r="M38" s="1953"/>
      <c r="N38" s="1959"/>
      <c r="O38" s="1958"/>
      <c r="Q38" s="1954" t="s">
        <v>216</v>
      </c>
      <c r="R38" s="1948" t="s">
        <v>220</v>
      </c>
      <c r="S38" s="1948">
        <v>100000</v>
      </c>
      <c r="T38" s="1991">
        <f>S38/12000</f>
        <v>8.3333333333333339</v>
      </c>
      <c r="U38" s="1990" t="s">
        <v>439</v>
      </c>
      <c r="V38" s="1976">
        <v>11.2</v>
      </c>
      <c r="W38" s="1980">
        <f>('Equipment Results Matrix'!$T$231+'Equipment Results Matrix'!$R$224*V38+'Equipment Results Matrix'!$R$225*$S38+'Equipment Results Matrix'!$R$226+'Equipment Results Matrix'!$R$230+'Equipment Results Matrix'!$R$228)*1.2</f>
        <v>7576.1998380279092</v>
      </c>
      <c r="X38" s="1960">
        <f>W38*Inflation!$D$3</f>
        <v>8168.6099225238931</v>
      </c>
      <c r="Y38" s="1959">
        <f xml:space="preserve"> X38/T38</f>
        <v>980.23319070286709</v>
      </c>
    </row>
    <row r="39" spans="1:25" ht="24.75" customHeight="1">
      <c r="A39" s="1954" t="s">
        <v>218</v>
      </c>
      <c r="B39" s="1948" t="s">
        <v>220</v>
      </c>
      <c r="C39" s="1958">
        <f>(V25-W55)/T25</f>
        <v>39.955268044799915</v>
      </c>
      <c r="D39" s="1988">
        <f>X25-Y55</f>
        <v>43.079512946534123</v>
      </c>
      <c r="E39" s="1963">
        <f>M62</f>
        <v>4726.2615301751148</v>
      </c>
      <c r="F39" s="1964">
        <v>0.05</v>
      </c>
      <c r="G39" s="1965">
        <v>15</v>
      </c>
      <c r="H39" s="1966">
        <f>G39/3</f>
        <v>5</v>
      </c>
      <c r="I39" s="1952">
        <f>((1+$F39)^H39-1)/($F39*(1+$F39)^H39)</f>
        <v>4.3294766706308208</v>
      </c>
      <c r="J39" s="1951">
        <f>((1+$F39)^G39-1)/($F39*(1+$F39)^G39)</f>
        <v>10.379658038180596</v>
      </c>
      <c r="K39" s="1951">
        <f>I39/J39</f>
        <v>0.41711168659942827</v>
      </c>
      <c r="L39" s="1952">
        <f>(X55+E26)*K26</f>
        <v>21124.8053298462</v>
      </c>
      <c r="M39" s="1953">
        <f>L39+(W25-X55)</f>
        <v>22919.785035951794</v>
      </c>
      <c r="N39" s="1959">
        <f>M39/T25</f>
        <v>550.07484086284308</v>
      </c>
      <c r="O39" s="1958">
        <f t="shared" ref="O39" si="7">(E39+W25)/T25</f>
        <v>1258.5700978535929</v>
      </c>
      <c r="Q39" s="1954"/>
      <c r="R39" s="1948"/>
      <c r="S39" s="1948"/>
      <c r="T39" s="1975"/>
      <c r="U39" s="1979"/>
      <c r="V39" s="1977"/>
      <c r="W39" s="1981"/>
      <c r="X39" s="1961"/>
      <c r="Y39" s="1959"/>
    </row>
    <row r="40" spans="1:25" ht="30" customHeight="1">
      <c r="A40" s="1954"/>
      <c r="B40" s="1948"/>
      <c r="C40" s="1958"/>
      <c r="D40" s="1988"/>
      <c r="E40" s="1963"/>
      <c r="F40" s="1964"/>
      <c r="G40" s="1965"/>
      <c r="H40" s="1966"/>
      <c r="I40" s="1952"/>
      <c r="J40" s="1951"/>
      <c r="K40" s="1951"/>
      <c r="L40" s="1952"/>
      <c r="M40" s="1953"/>
      <c r="N40" s="1959"/>
      <c r="O40" s="1958"/>
      <c r="Q40" s="1954" t="s">
        <v>217</v>
      </c>
      <c r="R40" s="1948" t="s">
        <v>220</v>
      </c>
      <c r="S40" s="1948">
        <v>187500</v>
      </c>
      <c r="T40" s="1974">
        <f>S40/12000</f>
        <v>15.625</v>
      </c>
      <c r="U40" s="1978" t="s">
        <v>440</v>
      </c>
      <c r="V40" s="1976">
        <v>11</v>
      </c>
      <c r="W40" s="1980">
        <f>('Equipment Results Matrix'!$T$231+'Equipment Results Matrix'!$R$224*V40+'Equipment Results Matrix'!$R$225*$S40+'Equipment Results Matrix'!$R$226+'Equipment Results Matrix'!$R$230+'Equipment Results Matrix'!$R$228)*1.2</f>
        <v>15408.665559627912</v>
      </c>
      <c r="X40" s="1960">
        <f>W40*Inflation!$D$3</f>
        <v>16613.524071982785</v>
      </c>
      <c r="Y40" s="1959">
        <f xml:space="preserve"> X40/T40</f>
        <v>1063.2655406068982</v>
      </c>
    </row>
    <row r="41" spans="1:25" ht="39.75" customHeight="1">
      <c r="A41" s="1954" t="s">
        <v>219</v>
      </c>
      <c r="B41" s="1948" t="s">
        <v>220</v>
      </c>
      <c r="C41" s="1958">
        <f>(V27-W57)/T27</f>
        <v>37.458063792000026</v>
      </c>
      <c r="D41" s="1988">
        <f>X27-Y57</f>
        <v>40.387043387376025</v>
      </c>
      <c r="E41" s="1963">
        <f>M63</f>
        <v>6069.3438314657069</v>
      </c>
      <c r="F41" s="1964">
        <v>0.05</v>
      </c>
      <c r="G41" s="1965">
        <v>15</v>
      </c>
      <c r="H41" s="1966">
        <f>G41/3</f>
        <v>5</v>
      </c>
      <c r="I41" s="1952">
        <f>((1+$F41)^H41-1)/($F41*(1+$F41)^H41)</f>
        <v>4.3294766706308208</v>
      </c>
      <c r="J41" s="1951">
        <f>((1+$F41)^G41-1)/($F41*(1+$F41)^G41)</f>
        <v>10.379658038180596</v>
      </c>
      <c r="K41" s="1951">
        <f>I41/J41</f>
        <v>0.41711168659942827</v>
      </c>
      <c r="L41" s="1952">
        <f>(X57+E28)*K28</f>
        <v>34243.380478700892</v>
      </c>
      <c r="M41" s="1953">
        <f>L41+(W27-X57)</f>
        <v>36935.850037859294</v>
      </c>
      <c r="N41" s="1959">
        <f>M41/T27</f>
        <v>554.03775056788936</v>
      </c>
      <c r="O41" s="1958">
        <f t="shared" ref="O41" si="8">(E41+W27)/T27</f>
        <v>1271.8334968975505</v>
      </c>
      <c r="P41" s="1640"/>
      <c r="Q41" s="1954"/>
      <c r="R41" s="1948"/>
      <c r="S41" s="1948"/>
      <c r="T41" s="1975"/>
      <c r="U41" s="1979"/>
      <c r="V41" s="1977"/>
      <c r="W41" s="1981"/>
      <c r="X41" s="1961"/>
      <c r="Y41" s="1959"/>
    </row>
    <row r="42" spans="1:25" ht="15" customHeight="1">
      <c r="A42" s="1954"/>
      <c r="B42" s="1948"/>
      <c r="C42" s="1958"/>
      <c r="D42" s="1988"/>
      <c r="E42" s="1963"/>
      <c r="F42" s="1964"/>
      <c r="G42" s="1965"/>
      <c r="H42" s="1966"/>
      <c r="I42" s="1952"/>
      <c r="J42" s="1951"/>
      <c r="K42" s="1951"/>
      <c r="L42" s="1952"/>
      <c r="M42" s="1953"/>
      <c r="N42" s="1959"/>
      <c r="O42" s="1958"/>
      <c r="P42" s="1640"/>
      <c r="Q42" s="1954" t="s">
        <v>218</v>
      </c>
      <c r="R42" s="1948" t="s">
        <v>220</v>
      </c>
      <c r="S42" s="1948">
        <f>(240000+760000)/2</f>
        <v>500000</v>
      </c>
      <c r="T42" s="1974">
        <f>S42/12000</f>
        <v>41.666666666666664</v>
      </c>
      <c r="U42" s="1978" t="s">
        <v>441</v>
      </c>
      <c r="V42" s="1976">
        <v>10</v>
      </c>
      <c r="W42" s="1980">
        <f>('Equipment Results Matrix'!$T$231+'Equipment Results Matrix'!$R$224*V42+'Equipment Results Matrix'!$R$225*$S42+'Equipment Results Matrix'!$R$226+'Equipment Results Matrix'!$R$230+'Equipment Results Matrix'!$R$228)*1.2</f>
        <v>42588.994167627905</v>
      </c>
      <c r="X42" s="1960">
        <f>W42*Inflation!$D$3</f>
        <v>45919.179507618996</v>
      </c>
      <c r="Y42" s="1959">
        <f xml:space="preserve"> X42/T42</f>
        <v>1102.060308182856</v>
      </c>
    </row>
    <row r="43" spans="1:25" ht="15" customHeight="1">
      <c r="A43" s="1950" t="s">
        <v>1914</v>
      </c>
      <c r="B43" s="1950"/>
      <c r="C43" s="1950"/>
      <c r="D43" s="1950"/>
      <c r="E43" s="1950"/>
      <c r="F43" s="1950"/>
      <c r="G43" s="1950"/>
      <c r="H43" s="1950"/>
      <c r="I43" s="1950"/>
      <c r="J43" s="1950"/>
      <c r="K43" s="1950"/>
      <c r="L43" s="1950"/>
      <c r="M43" s="1950"/>
      <c r="N43" s="1950"/>
      <c r="O43" s="1950"/>
      <c r="P43" s="1641"/>
      <c r="Q43" s="1954"/>
      <c r="R43" s="1948"/>
      <c r="S43" s="1948"/>
      <c r="T43" s="1975"/>
      <c r="U43" s="1979"/>
      <c r="V43" s="1977"/>
      <c r="W43" s="1981"/>
      <c r="X43" s="1961"/>
      <c r="Y43" s="1959"/>
    </row>
    <row r="44" spans="1:25" ht="30.75" customHeight="1">
      <c r="A44" s="141" t="s">
        <v>211</v>
      </c>
      <c r="B44" s="141"/>
      <c r="C44" s="188" t="s">
        <v>222</v>
      </c>
      <c r="D44" s="188" t="s">
        <v>223</v>
      </c>
      <c r="E44" s="1644" t="s">
        <v>642</v>
      </c>
      <c r="F44" s="1645" t="s">
        <v>621</v>
      </c>
      <c r="G44" s="1645" t="s">
        <v>622</v>
      </c>
      <c r="H44" s="1645" t="s">
        <v>261</v>
      </c>
      <c r="I44" s="1646" t="s">
        <v>623</v>
      </c>
      <c r="J44" s="1646" t="s">
        <v>624</v>
      </c>
      <c r="K44" s="1646" t="s">
        <v>629</v>
      </c>
      <c r="L44" s="1647" t="s">
        <v>625</v>
      </c>
      <c r="M44" s="1648" t="s">
        <v>721</v>
      </c>
      <c r="N44" s="1648" t="s">
        <v>1877</v>
      </c>
      <c r="O44" s="188" t="s">
        <v>1878</v>
      </c>
      <c r="P44" s="1641"/>
      <c r="Q44" s="1954" t="s">
        <v>219</v>
      </c>
      <c r="R44" s="1948" t="s">
        <v>220</v>
      </c>
      <c r="S44" s="1948">
        <v>800000</v>
      </c>
      <c r="T44" s="1974">
        <f>S44/12000</f>
        <v>66.666666666666671</v>
      </c>
      <c r="U44" s="1978" t="s">
        <v>442</v>
      </c>
      <c r="V44" s="1976">
        <v>9.6999999999999993</v>
      </c>
      <c r="W44" s="1980">
        <f>('Equipment Results Matrix'!$T$231+'Equipment Results Matrix'!$R$224*V44+'Equipment Results Matrix'!$R$225*$S44+'Equipment Results Matrix'!$R$226+'Equipment Results Matrix'!$R$230+'Equipment Results Matrix'!$R$228)*1.2</f>
        <v>70513.39275002791</v>
      </c>
      <c r="X44" s="1960">
        <f>W44*Inflation!$D$3</f>
        <v>76027.08640254593</v>
      </c>
      <c r="Y44" s="1959">
        <f xml:space="preserve"> X44/T44</f>
        <v>1140.4062960381889</v>
      </c>
    </row>
    <row r="45" spans="1:25" ht="15" customHeight="1">
      <c r="A45" s="1954" t="s">
        <v>216</v>
      </c>
      <c r="B45" s="1948" t="s">
        <v>220</v>
      </c>
      <c r="C45" s="1962">
        <f>($AA$64-$Y$64)/$T$64</f>
        <v>366.25662374400042</v>
      </c>
      <c r="D45" s="1967">
        <f>C45*Inflation!$D$3</f>
        <v>394.89553534323238</v>
      </c>
      <c r="E45" s="1963">
        <f>M60</f>
        <v>2935.4851284543261</v>
      </c>
      <c r="F45" s="1964">
        <v>0.05</v>
      </c>
      <c r="G45" s="1965">
        <v>15</v>
      </c>
      <c r="H45" s="1966">
        <f>G45/3</f>
        <v>5</v>
      </c>
      <c r="I45" s="1952">
        <f>((1+$F45)^$H$45-1)/($F45*(1+$F45)^$H$45)</f>
        <v>4.3294766706308208</v>
      </c>
      <c r="J45" s="1951">
        <f>((1+$F45)^$G$45-1)/($F$45*(1+$F45)^$G$45)</f>
        <v>10.379658038180596</v>
      </c>
      <c r="K45" s="1951">
        <f>$I$45/$J$45</f>
        <v>0.41711168659942827</v>
      </c>
      <c r="L45" s="1952">
        <f>($Z$64+$E$45)*$K$45</f>
        <v>6503.4153464375186</v>
      </c>
      <c r="M45" s="1953">
        <f>L45+(AB64-Z64)</f>
        <v>9794.2114742977901</v>
      </c>
      <c r="N45" s="1953">
        <f>M45/T64</f>
        <v>1175.3053769157348</v>
      </c>
      <c r="O45" s="1953">
        <f>AB64/T64</f>
        <v>1913.6226378777787</v>
      </c>
      <c r="P45" s="1641"/>
      <c r="Q45" s="1954"/>
      <c r="R45" s="1948"/>
      <c r="S45" s="1948"/>
      <c r="T45" s="1975"/>
      <c r="U45" s="1979"/>
      <c r="V45" s="1977"/>
      <c r="W45" s="1981"/>
      <c r="X45" s="1961"/>
      <c r="Y45" s="1959"/>
    </row>
    <row r="46" spans="1:25" ht="15" customHeight="1">
      <c r="A46" s="1954"/>
      <c r="B46" s="1948"/>
      <c r="C46" s="1962"/>
      <c r="D46" s="1962"/>
      <c r="E46" s="1963"/>
      <c r="F46" s="1964"/>
      <c r="G46" s="1965"/>
      <c r="H46" s="1966"/>
      <c r="I46" s="1952"/>
      <c r="J46" s="1951"/>
      <c r="K46" s="1951"/>
      <c r="L46" s="1952"/>
      <c r="M46" s="1953"/>
      <c r="N46" s="1953"/>
      <c r="O46" s="1953"/>
      <c r="P46" s="1641"/>
      <c r="Q46" s="1950" t="s">
        <v>444</v>
      </c>
      <c r="R46" s="1950"/>
      <c r="S46" s="1950"/>
      <c r="T46" s="1950"/>
      <c r="U46" s="1950"/>
      <c r="V46" s="1950"/>
      <c r="W46" s="1950"/>
      <c r="X46" s="1950"/>
      <c r="Y46" s="1950"/>
    </row>
    <row r="47" spans="1:25" ht="15" customHeight="1">
      <c r="A47" s="1954" t="s">
        <v>217</v>
      </c>
      <c r="B47" s="1948" t="s">
        <v>220</v>
      </c>
      <c r="C47" s="1962">
        <f>($AA$66-$Y$66)/$T$66</f>
        <v>140.19392296421077</v>
      </c>
      <c r="D47" s="1967">
        <f>C47*Inflation!$D$3</f>
        <v>151.15618577731394</v>
      </c>
      <c r="E47" s="1963">
        <f>M61</f>
        <v>3327.2174663307487</v>
      </c>
      <c r="F47" s="1964">
        <v>0.05</v>
      </c>
      <c r="G47" s="1965">
        <v>15</v>
      </c>
      <c r="H47" s="1966">
        <f>G47/3</f>
        <v>5</v>
      </c>
      <c r="I47" s="1952">
        <f>((1+$F47)^$H$47-1)/($F47*(1+$F47)^$H$47)</f>
        <v>4.3294766706308208</v>
      </c>
      <c r="J47" s="1951">
        <f>((1+$F47)^$G$47-1)/($F47*(1+$F47)^$G$47)</f>
        <v>10.379658038180596</v>
      </c>
      <c r="K47" s="1951">
        <f>I47/$J$47</f>
        <v>0.41711168659942827</v>
      </c>
      <c r="L47" s="1952">
        <f>($Z$66+$E$47)*$K$47</f>
        <v>9922.702971433755</v>
      </c>
      <c r="M47" s="1953">
        <f>L47+(AB64-Z64)</f>
        <v>13213.499099294026</v>
      </c>
      <c r="N47" s="1953">
        <f>M47/T64</f>
        <v>1585.619891915283</v>
      </c>
      <c r="O47" s="1953">
        <f>AB66/T66</f>
        <v>1443.4842988569228</v>
      </c>
      <c r="P47" s="1641"/>
      <c r="Q47" s="1948" t="s">
        <v>199</v>
      </c>
      <c r="R47" s="1990" t="s">
        <v>1887</v>
      </c>
      <c r="S47" s="1948">
        <v>60000</v>
      </c>
      <c r="T47" s="1955">
        <f>S47/12000</f>
        <v>5</v>
      </c>
      <c r="U47" s="1948" t="s">
        <v>214</v>
      </c>
      <c r="V47" s="1989">
        <v>13</v>
      </c>
      <c r="W47" s="1958">
        <f>('Equipment Results Matrix'!$T$162+'Equipment Results Matrix'!$R$155*S47+'Equipment Results Matrix'!$R$156*V47)*1.2</f>
        <v>1933.4762639999999</v>
      </c>
      <c r="X47" s="1959">
        <f>W47*Inflation!$D$3</f>
        <v>2084.6616684791629</v>
      </c>
      <c r="Y47" s="1959">
        <f xml:space="preserve"> X47/T47</f>
        <v>416.9323336958326</v>
      </c>
    </row>
    <row r="48" spans="1:25" ht="15" customHeight="1">
      <c r="A48" s="1954"/>
      <c r="B48" s="1948"/>
      <c r="C48" s="1962"/>
      <c r="D48" s="1962"/>
      <c r="E48" s="1963"/>
      <c r="F48" s="1964"/>
      <c r="G48" s="1965"/>
      <c r="H48" s="1966"/>
      <c r="I48" s="1952"/>
      <c r="J48" s="1951"/>
      <c r="K48" s="1951"/>
      <c r="L48" s="1952"/>
      <c r="M48" s="1953"/>
      <c r="N48" s="1953"/>
      <c r="O48" s="1953"/>
      <c r="P48" s="1641"/>
      <c r="Q48" s="1948"/>
      <c r="R48" s="1979"/>
      <c r="S48" s="1948"/>
      <c r="T48" s="1955"/>
      <c r="U48" s="1948"/>
      <c r="V48" s="1989"/>
      <c r="W48" s="1958"/>
      <c r="X48" s="1959"/>
      <c r="Y48" s="1959"/>
    </row>
    <row r="49" spans="1:28">
      <c r="A49" s="1954" t="s">
        <v>218</v>
      </c>
      <c r="B49" s="1948" t="s">
        <v>220</v>
      </c>
      <c r="C49" s="1962">
        <f>($AA$68-$Y$68)/$T$68</f>
        <v>46.614479385599786</v>
      </c>
      <c r="D49" s="1962">
        <f>C49*Inflation!$D$3</f>
        <v>50.25943177095656</v>
      </c>
      <c r="E49" s="1963">
        <f>M62</f>
        <v>4726.2615301751148</v>
      </c>
      <c r="F49" s="1964">
        <v>0.05</v>
      </c>
      <c r="G49" s="1965">
        <v>15</v>
      </c>
      <c r="H49" s="1966">
        <f>G49/3</f>
        <v>5</v>
      </c>
      <c r="I49" s="1952">
        <f>((1+$F49)^$H$49-1)/($F49*(1+$F49)^$H$49)</f>
        <v>4.3294766706308208</v>
      </c>
      <c r="J49" s="1951">
        <f>((1+$F49)^$G$49-1)/($F49*(1+$F49)^$G$49)</f>
        <v>10.379658038180596</v>
      </c>
      <c r="K49" s="1951">
        <f>I49/$J$49</f>
        <v>0.41711168659942827</v>
      </c>
      <c r="L49" s="1952">
        <f>($Z$68+$E$49)*$K$49</f>
        <v>22871.788359305589</v>
      </c>
      <c r="M49" s="1953">
        <f>L49+(AB66-Z66)</f>
        <v>25265.094634113062</v>
      </c>
      <c r="N49" s="1953">
        <f>M49/T66</f>
        <v>1595.6901874176669</v>
      </c>
      <c r="O49" s="1953">
        <f>AB68/T68</f>
        <v>1252.8386034957261</v>
      </c>
      <c r="Q49" s="1948" t="s">
        <v>199</v>
      </c>
      <c r="R49" s="1990" t="s">
        <v>1888</v>
      </c>
      <c r="S49" s="1948">
        <v>60000</v>
      </c>
      <c r="T49" s="1955">
        <f>S49/12000</f>
        <v>5</v>
      </c>
      <c r="U49" s="1948" t="s">
        <v>214</v>
      </c>
      <c r="V49" s="1989">
        <v>13</v>
      </c>
      <c r="W49" s="1958">
        <f>('Equipment Results Matrix'!$T$218+'Equipment Results Matrix'!$R$211*V49+'Equipment Results Matrix'!$R$212*$S49+'Equipment Results Matrix'!$R$213+'Equipment Results Matrix'!$R$215+'Equipment Results Matrix'!$R$217)*1.2</f>
        <v>3661.8955966209969</v>
      </c>
      <c r="X49" s="1959">
        <f>W49*Inflation!$D$3</f>
        <v>3948.2322728159579</v>
      </c>
      <c r="Y49" s="1959">
        <f xml:space="preserve"> X49/T49</f>
        <v>789.64645456319158</v>
      </c>
    </row>
    <row r="50" spans="1:28" ht="15" customHeight="1">
      <c r="A50" s="1954"/>
      <c r="B50" s="1948"/>
      <c r="C50" s="1962"/>
      <c r="D50" s="1962"/>
      <c r="E50" s="1963"/>
      <c r="F50" s="1964"/>
      <c r="G50" s="1965"/>
      <c r="H50" s="1966"/>
      <c r="I50" s="1952"/>
      <c r="J50" s="1951"/>
      <c r="K50" s="1951"/>
      <c r="L50" s="1952"/>
      <c r="M50" s="1953"/>
      <c r="N50" s="1953"/>
      <c r="O50" s="1953"/>
      <c r="Q50" s="1948"/>
      <c r="R50" s="1979"/>
      <c r="S50" s="1948"/>
      <c r="T50" s="1955"/>
      <c r="U50" s="1948"/>
      <c r="V50" s="1989"/>
      <c r="W50" s="1958"/>
      <c r="X50" s="1959"/>
      <c r="Y50" s="1959"/>
    </row>
    <row r="51" spans="1:28">
      <c r="Q51" s="1954" t="s">
        <v>216</v>
      </c>
      <c r="R51" s="1948" t="s">
        <v>220</v>
      </c>
      <c r="S51" s="1948">
        <f>S21</f>
        <v>100000</v>
      </c>
      <c r="T51" s="1955">
        <f>S51/12000</f>
        <v>8.3333333333333339</v>
      </c>
      <c r="U51" s="1948" t="s">
        <v>445</v>
      </c>
      <c r="V51" s="1957">
        <v>11.2</v>
      </c>
      <c r="W51" s="1958">
        <f>('Equipment Results Matrix'!$T$231+'Equipment Results Matrix'!$R$224*V51+'Equipment Results Matrix'!$R$225*$S51+'Equipment Results Matrix'!$R$226+'Equipment Results Matrix'!$R$230+'Equipment Results Matrix'!$R$228)*1.2</f>
        <v>7576.1998380279092</v>
      </c>
      <c r="X51" s="1959">
        <f>W51*Inflation!$D$3</f>
        <v>8168.6099225238931</v>
      </c>
      <c r="Y51" s="1959">
        <f xml:space="preserve"> X51/T51</f>
        <v>980.23319070286709</v>
      </c>
    </row>
    <row r="52" spans="1:28" ht="15" customHeight="1">
      <c r="Q52" s="1954"/>
      <c r="R52" s="1948"/>
      <c r="S52" s="1948"/>
      <c r="T52" s="1955"/>
      <c r="U52" s="1948"/>
      <c r="V52" s="1957"/>
      <c r="W52" s="1958"/>
      <c r="X52" s="1959"/>
      <c r="Y52" s="1959"/>
    </row>
    <row r="53" spans="1:28">
      <c r="Q53" s="1954" t="s">
        <v>217</v>
      </c>
      <c r="R53" s="1948" t="s">
        <v>220</v>
      </c>
      <c r="S53" s="1948">
        <v>187500</v>
      </c>
      <c r="T53" s="1955">
        <f>S53/12000</f>
        <v>15.625</v>
      </c>
      <c r="U53" s="1948" t="s">
        <v>446</v>
      </c>
      <c r="V53" s="1957">
        <v>11</v>
      </c>
      <c r="W53" s="1958">
        <f>('Equipment Results Matrix'!$T$231+'Equipment Results Matrix'!$R$224*V53+'Equipment Results Matrix'!$R$225*$S53+'Equipment Results Matrix'!$R$226+'Equipment Results Matrix'!$R$230+'Equipment Results Matrix'!$R$228)*1.2</f>
        <v>15408.665559627912</v>
      </c>
      <c r="X53" s="1959">
        <f>W53*Inflation!$D$3</f>
        <v>16613.524071982785</v>
      </c>
      <c r="Y53" s="1959">
        <f xml:space="preserve"> X53/T53</f>
        <v>1063.2655406068982</v>
      </c>
    </row>
    <row r="54" spans="1:28">
      <c r="Q54" s="1954"/>
      <c r="R54" s="1948"/>
      <c r="S54" s="1948"/>
      <c r="T54" s="1955"/>
      <c r="U54" s="1948"/>
      <c r="V54" s="1957"/>
      <c r="W54" s="1958"/>
      <c r="X54" s="1959"/>
      <c r="Y54" s="1959"/>
    </row>
    <row r="55" spans="1:28">
      <c r="Q55" s="1954" t="s">
        <v>218</v>
      </c>
      <c r="R55" s="1948" t="s">
        <v>220</v>
      </c>
      <c r="S55" s="1978">
        <f>(240000+760000)/2</f>
        <v>500000</v>
      </c>
      <c r="T55" s="1974">
        <f>S55/12000</f>
        <v>41.666666666666664</v>
      </c>
      <c r="U55" s="1948" t="s">
        <v>447</v>
      </c>
      <c r="V55" s="1982">
        <v>10</v>
      </c>
      <c r="W55" s="1958">
        <f>('Equipment Results Matrix'!$T$231+'Equipment Results Matrix'!$R$224*V55+'Equipment Results Matrix'!$R$225*$S55+'Equipment Results Matrix'!$R$226+'Equipment Results Matrix'!$R$230+'Equipment Results Matrix'!$R$228)*1.2</f>
        <v>42588.994167627905</v>
      </c>
      <c r="X55" s="1960">
        <f>W55*Inflation!$D$3</f>
        <v>45919.179507618996</v>
      </c>
      <c r="Y55" s="1959">
        <f xml:space="preserve"> X55/T55</f>
        <v>1102.060308182856</v>
      </c>
    </row>
    <row r="56" spans="1:28">
      <c r="K56" s="1968" t="s">
        <v>288</v>
      </c>
      <c r="L56" s="1968"/>
      <c r="M56" s="1968"/>
      <c r="Q56" s="1954"/>
      <c r="R56" s="1948"/>
      <c r="S56" s="1979"/>
      <c r="T56" s="1975"/>
      <c r="U56" s="1948"/>
      <c r="V56" s="1983"/>
      <c r="W56" s="1958"/>
      <c r="X56" s="1961"/>
      <c r="Y56" s="1959"/>
    </row>
    <row r="57" spans="1:28">
      <c r="K57" s="97" t="s">
        <v>263</v>
      </c>
      <c r="L57" s="97" t="s">
        <v>206</v>
      </c>
      <c r="M57" s="97" t="s">
        <v>1772</v>
      </c>
      <c r="Q57" s="1954" t="s">
        <v>219</v>
      </c>
      <c r="R57" s="1948" t="s">
        <v>220</v>
      </c>
      <c r="S57" s="1978">
        <v>800000</v>
      </c>
      <c r="T57" s="1974">
        <f>S57/12000</f>
        <v>66.666666666666671</v>
      </c>
      <c r="U57" s="1948" t="s">
        <v>448</v>
      </c>
      <c r="V57" s="1982">
        <v>9.6999999999999993</v>
      </c>
      <c r="W57" s="1958">
        <f>('Equipment Results Matrix'!$T$231+'Equipment Results Matrix'!$R$224*V57+'Equipment Results Matrix'!$R$225*$S57+'Equipment Results Matrix'!$R$226+'Equipment Results Matrix'!$R$230+'Equipment Results Matrix'!$R$228)*1.2</f>
        <v>70513.39275002791</v>
      </c>
      <c r="X57" s="1960">
        <f>W57*Inflation!$D$3</f>
        <v>76027.08640254593</v>
      </c>
      <c r="Y57" s="1959">
        <f xml:space="preserve"> X57/T57</f>
        <v>1140.4062960381889</v>
      </c>
    </row>
    <row r="58" spans="1:28">
      <c r="K58" s="97" t="s">
        <v>264</v>
      </c>
      <c r="L58" s="97" t="s">
        <v>22</v>
      </c>
      <c r="M58" s="3">
        <f>'Labor Results Matrix'!$L$37+'Labor Results Matrix'!$J$37*'Labor Adjustment'!$B$5</f>
        <v>6225.002516632193</v>
      </c>
      <c r="Q58" s="1954"/>
      <c r="R58" s="1948"/>
      <c r="S58" s="1979"/>
      <c r="T58" s="1975"/>
      <c r="U58" s="1948"/>
      <c r="V58" s="1983"/>
      <c r="W58" s="1958"/>
      <c r="X58" s="1961"/>
      <c r="Y58" s="1959"/>
    </row>
    <row r="59" spans="1:28">
      <c r="K59" s="1748" t="s">
        <v>265</v>
      </c>
      <c r="L59" s="66">
        <f>T19</f>
        <v>5</v>
      </c>
      <c r="M59" s="3">
        <f>(((0.845*(L59)+27.129)*'Labor Results Matrix'!$G$107+'Labor Results Matrix'!$I$108)+'Labor Results Matrix'!$J$106)*1.27*'Labor Adjustment'!$B$5</f>
        <v>2756.4074882822474</v>
      </c>
    </row>
    <row r="60" spans="1:28">
      <c r="K60" s="1748"/>
      <c r="L60" s="66">
        <f>T21</f>
        <v>8.3333333333333339</v>
      </c>
      <c r="M60" s="3">
        <f>(((0.845*(L60)+27.129)*'Labor Results Matrix'!$G$107+'Labor Results Matrix'!$I$108)+'Labor Results Matrix'!$J$106)*1.27*'Labor Adjustment'!$B$5</f>
        <v>2935.4851284543261</v>
      </c>
    </row>
    <row r="61" spans="1:28">
      <c r="K61" s="1748"/>
      <c r="L61" s="66">
        <f>T23</f>
        <v>15.625</v>
      </c>
      <c r="M61" s="3">
        <f>(((0.845*(L61)+27.129)*'Labor Results Matrix'!$G$107+'Labor Results Matrix'!$I$108)+'Labor Results Matrix'!$J$106)*1.27*'Labor Adjustment'!$B$5</f>
        <v>3327.2174663307487</v>
      </c>
      <c r="Q61" s="1997" t="s">
        <v>1915</v>
      </c>
      <c r="R61" s="1998"/>
      <c r="S61" s="1998"/>
      <c r="T61" s="1998"/>
      <c r="U61" s="1998"/>
      <c r="V61" s="1998"/>
      <c r="W61" s="1998"/>
      <c r="X61" s="1998"/>
      <c r="Y61" s="1998"/>
      <c r="Z61" s="1998"/>
      <c r="AA61" s="1998"/>
      <c r="AB61" s="1999"/>
    </row>
    <row r="62" spans="1:28" ht="28.8">
      <c r="K62" s="1748"/>
      <c r="L62" s="66">
        <f>T25</f>
        <v>41.666666666666664</v>
      </c>
      <c r="M62" s="3">
        <f>(((0.845*(L62)+27.129)*'Labor Results Matrix'!$G$107+'Labor Results Matrix'!$I$108)+'Labor Results Matrix'!$J$106)*1.27*'Labor Adjustment'!$B$5</f>
        <v>4726.2615301751148</v>
      </c>
      <c r="Q62" s="1642"/>
      <c r="R62" s="1642"/>
      <c r="S62" s="1642"/>
      <c r="T62" s="1642"/>
      <c r="U62" s="1642"/>
      <c r="V62" s="1642"/>
      <c r="W62" s="1643" t="s">
        <v>278</v>
      </c>
      <c r="X62" s="1643" t="s">
        <v>278</v>
      </c>
      <c r="Y62" s="1642"/>
      <c r="Z62" s="1642"/>
      <c r="AA62" s="1642"/>
      <c r="AB62" s="1642"/>
    </row>
    <row r="63" spans="1:28" ht="52.8">
      <c r="K63" s="1748"/>
      <c r="L63" s="66">
        <f>T27</f>
        <v>66.666666666666671</v>
      </c>
      <c r="M63" s="3">
        <f>(((0.845*(L63)+27.129)*'Labor Results Matrix'!$G$107+'Labor Results Matrix'!$I$108)+'Labor Results Matrix'!$J$106)*1.27*'Labor Adjustment'!$B$5</f>
        <v>6069.3438314657069</v>
      </c>
      <c r="Q63" s="141" t="s">
        <v>211</v>
      </c>
      <c r="R63" s="141"/>
      <c r="S63" s="141" t="s">
        <v>224</v>
      </c>
      <c r="T63" s="141" t="s">
        <v>206</v>
      </c>
      <c r="U63" s="141" t="s">
        <v>212</v>
      </c>
      <c r="V63" s="141" t="s">
        <v>276</v>
      </c>
      <c r="W63" s="141" t="s">
        <v>1802</v>
      </c>
      <c r="X63" s="141" t="s">
        <v>1803</v>
      </c>
      <c r="Y63" s="141" t="s">
        <v>428</v>
      </c>
      <c r="Z63" s="141" t="s">
        <v>426</v>
      </c>
      <c r="AA63" s="141" t="s">
        <v>427</v>
      </c>
      <c r="AB63" s="141" t="s">
        <v>429</v>
      </c>
    </row>
    <row r="64" spans="1:28">
      <c r="Q64" s="1954" t="s">
        <v>216</v>
      </c>
      <c r="R64" s="1948" t="s">
        <v>220</v>
      </c>
      <c r="S64" s="1948">
        <v>100000</v>
      </c>
      <c r="T64" s="1955">
        <f>S64/12000</f>
        <v>8.3333333333333339</v>
      </c>
      <c r="U64" s="1948" t="s">
        <v>220</v>
      </c>
      <c r="V64" s="1956" t="s">
        <v>277</v>
      </c>
      <c r="W64" s="1957">
        <v>12.7</v>
      </c>
      <c r="X64" s="1957">
        <v>13.8</v>
      </c>
      <c r="Y64" s="1958">
        <f>('Equipment Results Matrix'!$T$231+'Equipment Results Matrix'!$R$224*W64+'Equipment Results Matrix'!$R$225*$S64+'Equipment Results Matrix'!$R$226+'Equipment Results Matrix'!$R$228+'Equipment Results Matrix'!$R$230)*1.2</f>
        <v>11738.206926027904</v>
      </c>
      <c r="Z64" s="1959">
        <f>Y64*Inflation!$D$3</f>
        <v>12656.059187787887</v>
      </c>
      <c r="AA64" s="1958">
        <f>('Equipment Results Matrix'!$T$231+'Equipment Results Matrix'!$R$224*X64+'Equipment Results Matrix'!$R$225*$S64+'Equipment Results Matrix'!$R$226+'Equipment Results Matrix'!$R$228+'Equipment Results Matrix'!$R$230)*1.2</f>
        <v>14790.345457227908</v>
      </c>
      <c r="AB64" s="1959">
        <f>AA64*Inflation!$D$3</f>
        <v>15946.855315648158</v>
      </c>
    </row>
    <row r="65" spans="1:28">
      <c r="Q65" s="1954"/>
      <c r="R65" s="1948"/>
      <c r="S65" s="1948"/>
      <c r="T65" s="1955"/>
      <c r="U65" s="1948"/>
      <c r="V65" s="1956"/>
      <c r="W65" s="1957"/>
      <c r="X65" s="1957"/>
      <c r="Y65" s="1958"/>
      <c r="Z65" s="1757"/>
      <c r="AA65" s="1958"/>
      <c r="AB65" s="1757"/>
    </row>
    <row r="66" spans="1:28">
      <c r="Q66" s="1954" t="s">
        <v>217</v>
      </c>
      <c r="R66" s="1948" t="s">
        <v>220</v>
      </c>
      <c r="S66" s="1948">
        <v>190000</v>
      </c>
      <c r="T66" s="1955">
        <f>S66/12000</f>
        <v>15.833333333333334</v>
      </c>
      <c r="U66" s="1948" t="s">
        <v>220</v>
      </c>
      <c r="V66" s="1956" t="s">
        <v>225</v>
      </c>
      <c r="W66" s="1957">
        <v>12.2</v>
      </c>
      <c r="X66" s="1957">
        <v>13</v>
      </c>
      <c r="Y66" s="1958">
        <f>('Equipment Results Matrix'!$T$231+'Equipment Results Matrix'!$R$224*W66+'Equipment Results Matrix'!$R$225*$S66+'Equipment Results Matrix'!$R$226+'Equipment Results Matrix'!$R$228+'Equipment Results Matrix'!$R$230)*1.2</f>
        <v>18977.911230027905</v>
      </c>
      <c r="Z66" s="1959">
        <f>Y66*Inflation!$D$3</f>
        <v>20461.861790427138</v>
      </c>
      <c r="AA66" s="1958">
        <f>('Equipment Results Matrix'!$T$231+'Equipment Results Matrix'!$R$224*X66+'Equipment Results Matrix'!$R$225*$S66+'Equipment Results Matrix'!$R$226+'Equipment Results Matrix'!$R$228+'Equipment Results Matrix'!$R$230)*1.2</f>
        <v>21197.648343627909</v>
      </c>
      <c r="AB66" s="1959">
        <f>AA66*Inflation!$D$3</f>
        <v>22855.168065234611</v>
      </c>
    </row>
    <row r="67" spans="1:28">
      <c r="Q67" s="1954"/>
      <c r="R67" s="1948"/>
      <c r="S67" s="1948"/>
      <c r="T67" s="1955"/>
      <c r="U67" s="1948"/>
      <c r="V67" s="1956"/>
      <c r="W67" s="1957"/>
      <c r="X67" s="1957"/>
      <c r="Y67" s="1958"/>
      <c r="Z67" s="1757"/>
      <c r="AA67" s="1958"/>
      <c r="AB67" s="1757"/>
    </row>
    <row r="68" spans="1:28">
      <c r="Q68" s="1954" t="s">
        <v>218</v>
      </c>
      <c r="R68" s="1948" t="s">
        <v>220</v>
      </c>
      <c r="S68" s="1948">
        <v>500000</v>
      </c>
      <c r="T68" s="1955">
        <f>S68/12000</f>
        <v>41.666666666666664</v>
      </c>
      <c r="U68" s="1948" t="s">
        <v>220</v>
      </c>
      <c r="V68" s="1956" t="s">
        <v>279</v>
      </c>
      <c r="W68" s="1957">
        <v>11.4</v>
      </c>
      <c r="X68" s="1957">
        <v>12.1</v>
      </c>
      <c r="Y68" s="1958">
        <f>('Equipment Results Matrix'!$T$231+'Equipment Results Matrix'!$R$224*W68+'Equipment Results Matrix'!$R$225*$S68+'Equipment Results Matrix'!$R$226+'Equipment Results Matrix'!$R$228+'Equipment Results Matrix'!$R$230)*1.2</f>
        <v>46473.534116427909</v>
      </c>
      <c r="Z68" s="1959">
        <f>Y68*Inflation!$D$3</f>
        <v>50107.465488532063</v>
      </c>
      <c r="AA68" s="1958">
        <f>('Equipment Results Matrix'!$T$231+'Equipment Results Matrix'!$R$224*X68+'Equipment Results Matrix'!$R$225*$S68+'Equipment Results Matrix'!$R$226+'Equipment Results Matrix'!$R$228+'Equipment Results Matrix'!$R$230)*1.2</f>
        <v>48415.8040908279</v>
      </c>
      <c r="AB68" s="1959">
        <f>AA68*Inflation!$D$3</f>
        <v>52201.608478988586</v>
      </c>
    </row>
    <row r="69" spans="1:28">
      <c r="Q69" s="1954"/>
      <c r="R69" s="1948"/>
      <c r="S69" s="1948"/>
      <c r="T69" s="1955"/>
      <c r="U69" s="1948"/>
      <c r="V69" s="1956"/>
      <c r="W69" s="1957"/>
      <c r="X69" s="1957"/>
      <c r="Y69" s="1958"/>
      <c r="Z69" s="1757"/>
      <c r="AA69" s="1958"/>
      <c r="AB69" s="1757"/>
    </row>
    <row r="77" spans="1:28" ht="21">
      <c r="A77" s="184" t="s">
        <v>634</v>
      </c>
      <c r="B77" s="184"/>
    </row>
  </sheetData>
  <mergeCells count="439">
    <mergeCell ref="T47:T48"/>
    <mergeCell ref="U47:U48"/>
    <mergeCell ref="V47:V48"/>
    <mergeCell ref="O37:O38"/>
    <mergeCell ref="O39:O40"/>
    <mergeCell ref="O41:O42"/>
    <mergeCell ref="B2:N2"/>
    <mergeCell ref="C3:C4"/>
    <mergeCell ref="B3:B4"/>
    <mergeCell ref="O15:O16"/>
    <mergeCell ref="A17:O17"/>
    <mergeCell ref="A30:O30"/>
    <mergeCell ref="L14:O14"/>
    <mergeCell ref="D3:H3"/>
    <mergeCell ref="I3:I4"/>
    <mergeCell ref="J3:L3"/>
    <mergeCell ref="A13:X13"/>
    <mergeCell ref="O18:O19"/>
    <mergeCell ref="O20:O21"/>
    <mergeCell ref="O22:O23"/>
    <mergeCell ref="O24:O25"/>
    <mergeCell ref="O26:O27"/>
    <mergeCell ref="O28:O29"/>
    <mergeCell ref="O31:O32"/>
    <mergeCell ref="L35:L36"/>
    <mergeCell ref="N33:N34"/>
    <mergeCell ref="M33:M34"/>
    <mergeCell ref="L33:L34"/>
    <mergeCell ref="T17:T18"/>
    <mergeCell ref="U17:U18"/>
    <mergeCell ref="V17:V18"/>
    <mergeCell ref="W17:W18"/>
    <mergeCell ref="X17:X18"/>
    <mergeCell ref="R17:R18"/>
    <mergeCell ref="R19:R20"/>
    <mergeCell ref="R21:R22"/>
    <mergeCell ref="R23:R24"/>
    <mergeCell ref="S17:S18"/>
    <mergeCell ref="V19:V20"/>
    <mergeCell ref="W19:W20"/>
    <mergeCell ref="X19:X20"/>
    <mergeCell ref="U19:U20"/>
    <mergeCell ref="X21:X22"/>
    <mergeCell ref="O33:O34"/>
    <mergeCell ref="O35:O36"/>
    <mergeCell ref="R25:R26"/>
    <mergeCell ref="R27:R28"/>
    <mergeCell ref="C31:N32"/>
    <mergeCell ref="Y34:Y35"/>
    <mergeCell ref="R34:R35"/>
    <mergeCell ref="R36:R37"/>
    <mergeCell ref="R38:R39"/>
    <mergeCell ref="R40:R41"/>
    <mergeCell ref="R42:R43"/>
    <mergeCell ref="B37:B38"/>
    <mergeCell ref="B39:B40"/>
    <mergeCell ref="B35:B36"/>
    <mergeCell ref="J39:J40"/>
    <mergeCell ref="X38:X39"/>
    <mergeCell ref="S38:S39"/>
    <mergeCell ref="U38:U39"/>
    <mergeCell ref="U40:U41"/>
    <mergeCell ref="T38:T39"/>
    <mergeCell ref="Y36:Y37"/>
    <mergeCell ref="Y38:Y39"/>
    <mergeCell ref="Y40:Y41"/>
    <mergeCell ref="T40:T41"/>
    <mergeCell ref="V40:V41"/>
    <mergeCell ref="W40:W41"/>
    <mergeCell ref="X40:X41"/>
    <mergeCell ref="B41:B42"/>
    <mergeCell ref="Q34:Q35"/>
    <mergeCell ref="Y57:Y58"/>
    <mergeCell ref="S55:S56"/>
    <mergeCell ref="T55:T56"/>
    <mergeCell ref="U55:U56"/>
    <mergeCell ref="Y51:Y52"/>
    <mergeCell ref="S53:S54"/>
    <mergeCell ref="T53:T54"/>
    <mergeCell ref="U53:U54"/>
    <mergeCell ref="V53:V54"/>
    <mergeCell ref="W53:W54"/>
    <mergeCell ref="X53:X54"/>
    <mergeCell ref="Y53:Y54"/>
    <mergeCell ref="Y49:Y50"/>
    <mergeCell ref="Q16:X16"/>
    <mergeCell ref="S25:S26"/>
    <mergeCell ref="T25:T26"/>
    <mergeCell ref="A41:A42"/>
    <mergeCell ref="C41:C42"/>
    <mergeCell ref="D41:D42"/>
    <mergeCell ref="A37:A38"/>
    <mergeCell ref="C37:C38"/>
    <mergeCell ref="D37:D38"/>
    <mergeCell ref="A39:A40"/>
    <mergeCell ref="C39:C40"/>
    <mergeCell ref="D39:D40"/>
    <mergeCell ref="Q38:Q39"/>
    <mergeCell ref="Q40:Q41"/>
    <mergeCell ref="Q42:Q43"/>
    <mergeCell ref="Q33:Y33"/>
    <mergeCell ref="Q46:Y46"/>
    <mergeCell ref="Q49:Q50"/>
    <mergeCell ref="Q36:Q37"/>
    <mergeCell ref="R44:R45"/>
    <mergeCell ref="W47:W48"/>
    <mergeCell ref="X47:X48"/>
    <mergeCell ref="Y47:Y48"/>
    <mergeCell ref="X36:X37"/>
    <mergeCell ref="S36:S37"/>
    <mergeCell ref="T36:T37"/>
    <mergeCell ref="U36:U37"/>
    <mergeCell ref="A14:D14"/>
    <mergeCell ref="Q14:X14"/>
    <mergeCell ref="S49:S50"/>
    <mergeCell ref="T49:T50"/>
    <mergeCell ref="U49:U50"/>
    <mergeCell ref="V49:V50"/>
    <mergeCell ref="W49:W50"/>
    <mergeCell ref="X49:X50"/>
    <mergeCell ref="R49:R50"/>
    <mergeCell ref="B31:B32"/>
    <mergeCell ref="A31:A34"/>
    <mergeCell ref="A18:A21"/>
    <mergeCell ref="B18:B19"/>
    <mergeCell ref="B20:B21"/>
    <mergeCell ref="B22:B23"/>
    <mergeCell ref="B24:B25"/>
    <mergeCell ref="B26:B27"/>
    <mergeCell ref="B28:B29"/>
    <mergeCell ref="B33:B34"/>
    <mergeCell ref="W34:W35"/>
    <mergeCell ref="A26:A27"/>
    <mergeCell ref="C26:C27"/>
    <mergeCell ref="D26:D27"/>
    <mergeCell ref="X23:X24"/>
    <mergeCell ref="Q25:Q26"/>
    <mergeCell ref="A24:A25"/>
    <mergeCell ref="C24:C25"/>
    <mergeCell ref="D24:D25"/>
    <mergeCell ref="E33:E34"/>
    <mergeCell ref="F33:F34"/>
    <mergeCell ref="G33:G34"/>
    <mergeCell ref="H33:H34"/>
    <mergeCell ref="I33:I34"/>
    <mergeCell ref="J33:J34"/>
    <mergeCell ref="X25:X26"/>
    <mergeCell ref="X34:X35"/>
    <mergeCell ref="S34:S35"/>
    <mergeCell ref="T34:T35"/>
    <mergeCell ref="U34:U35"/>
    <mergeCell ref="V34:V35"/>
    <mergeCell ref="J35:J36"/>
    <mergeCell ref="K35:K36"/>
    <mergeCell ref="N35:N36"/>
    <mergeCell ref="M35:M36"/>
    <mergeCell ref="T57:T58"/>
    <mergeCell ref="U57:U58"/>
    <mergeCell ref="V57:V58"/>
    <mergeCell ref="W57:W58"/>
    <mergeCell ref="X57:X58"/>
    <mergeCell ref="A28:A29"/>
    <mergeCell ref="C28:C29"/>
    <mergeCell ref="D28:D29"/>
    <mergeCell ref="Q27:Q28"/>
    <mergeCell ref="S27:S28"/>
    <mergeCell ref="T27:T28"/>
    <mergeCell ref="U27:U28"/>
    <mergeCell ref="V27:V28"/>
    <mergeCell ref="W27:W28"/>
    <mergeCell ref="X27:X28"/>
    <mergeCell ref="U51:U52"/>
    <mergeCell ref="V51:V52"/>
    <mergeCell ref="W51:W52"/>
    <mergeCell ref="E39:E40"/>
    <mergeCell ref="F39:F40"/>
    <mergeCell ref="G39:G40"/>
    <mergeCell ref="H39:H40"/>
    <mergeCell ref="I39:I40"/>
    <mergeCell ref="A35:A36"/>
    <mergeCell ref="C20:C21"/>
    <mergeCell ref="D20:D21"/>
    <mergeCell ref="A22:A23"/>
    <mergeCell ref="C22:C23"/>
    <mergeCell ref="D22:D23"/>
    <mergeCell ref="S23:S24"/>
    <mergeCell ref="T23:T24"/>
    <mergeCell ref="Q19:Q20"/>
    <mergeCell ref="S19:S20"/>
    <mergeCell ref="T19:T20"/>
    <mergeCell ref="Q23:Q24"/>
    <mergeCell ref="C18:C19"/>
    <mergeCell ref="D18:D19"/>
    <mergeCell ref="E18:E19"/>
    <mergeCell ref="F18:F19"/>
    <mergeCell ref="G18:G19"/>
    <mergeCell ref="H18:H19"/>
    <mergeCell ref="I18:I19"/>
    <mergeCell ref="J18:J19"/>
    <mergeCell ref="K18:K19"/>
    <mergeCell ref="L18:L19"/>
    <mergeCell ref="M18:M19"/>
    <mergeCell ref="N18:N19"/>
    <mergeCell ref="Q17:Q18"/>
    <mergeCell ref="T51:T52"/>
    <mergeCell ref="V55:V56"/>
    <mergeCell ref="Q55:Q56"/>
    <mergeCell ref="Q44:Q45"/>
    <mergeCell ref="R53:R54"/>
    <mergeCell ref="R55:R56"/>
    <mergeCell ref="W23:W24"/>
    <mergeCell ref="Q21:Q22"/>
    <mergeCell ref="S21:S22"/>
    <mergeCell ref="T21:T22"/>
    <mergeCell ref="U21:U22"/>
    <mergeCell ref="V21:V22"/>
    <mergeCell ref="U25:U26"/>
    <mergeCell ref="V25:V26"/>
    <mergeCell ref="W25:W26"/>
    <mergeCell ref="W21:W22"/>
    <mergeCell ref="U23:U24"/>
    <mergeCell ref="V23:V24"/>
    <mergeCell ref="S40:S41"/>
    <mergeCell ref="V36:V37"/>
    <mergeCell ref="W38:W39"/>
    <mergeCell ref="V38:V39"/>
    <mergeCell ref="W36:W37"/>
    <mergeCell ref="Q51:Q52"/>
    <mergeCell ref="Y44:Y45"/>
    <mergeCell ref="S44:S45"/>
    <mergeCell ref="T44:T45"/>
    <mergeCell ref="V44:V45"/>
    <mergeCell ref="U44:U45"/>
    <mergeCell ref="W44:W45"/>
    <mergeCell ref="X44:X45"/>
    <mergeCell ref="Y42:Y43"/>
    <mergeCell ref="S42:S43"/>
    <mergeCell ref="T42:T43"/>
    <mergeCell ref="V42:V43"/>
    <mergeCell ref="W42:W43"/>
    <mergeCell ref="X42:X43"/>
    <mergeCell ref="U42:U43"/>
    <mergeCell ref="Q31:Y31"/>
    <mergeCell ref="E15:E16"/>
    <mergeCell ref="F15:F16"/>
    <mergeCell ref="G15:G16"/>
    <mergeCell ref="H15:H16"/>
    <mergeCell ref="I15:I16"/>
    <mergeCell ref="J15:J16"/>
    <mergeCell ref="K15:K16"/>
    <mergeCell ref="L15:L16"/>
    <mergeCell ref="E22:E23"/>
    <mergeCell ref="F22:F23"/>
    <mergeCell ref="G22:G23"/>
    <mergeCell ref="H22:H23"/>
    <mergeCell ref="I22:I23"/>
    <mergeCell ref="J22:J23"/>
    <mergeCell ref="K22:K23"/>
    <mergeCell ref="L22:L23"/>
    <mergeCell ref="E26:E27"/>
    <mergeCell ref="F26:F27"/>
    <mergeCell ref="G26:G27"/>
    <mergeCell ref="H26:H27"/>
    <mergeCell ref="I26:I27"/>
    <mergeCell ref="J26:J27"/>
    <mergeCell ref="K26:K27"/>
    <mergeCell ref="M15:M16"/>
    <mergeCell ref="N15:N16"/>
    <mergeCell ref="E20:E21"/>
    <mergeCell ref="F20:F21"/>
    <mergeCell ref="G20:G21"/>
    <mergeCell ref="H20:H21"/>
    <mergeCell ref="I20:I21"/>
    <mergeCell ref="J20:J21"/>
    <mergeCell ref="K20:K21"/>
    <mergeCell ref="L20:L21"/>
    <mergeCell ref="M20:M21"/>
    <mergeCell ref="N20:N21"/>
    <mergeCell ref="N28:N29"/>
    <mergeCell ref="M22:M23"/>
    <mergeCell ref="N22:N23"/>
    <mergeCell ref="E24:E25"/>
    <mergeCell ref="F24:F25"/>
    <mergeCell ref="G24:G25"/>
    <mergeCell ref="H24:H25"/>
    <mergeCell ref="I24:I25"/>
    <mergeCell ref="J24:J25"/>
    <mergeCell ref="K24:K25"/>
    <mergeCell ref="L24:L25"/>
    <mergeCell ref="M24:M25"/>
    <mergeCell ref="N24:N25"/>
    <mergeCell ref="E14:K14"/>
    <mergeCell ref="L37:L38"/>
    <mergeCell ref="M37:M38"/>
    <mergeCell ref="N37:N38"/>
    <mergeCell ref="L39:L40"/>
    <mergeCell ref="M39:M40"/>
    <mergeCell ref="N39:N40"/>
    <mergeCell ref="L41:L42"/>
    <mergeCell ref="M41:M42"/>
    <mergeCell ref="N41:N42"/>
    <mergeCell ref="L26:L27"/>
    <mergeCell ref="M26:M27"/>
    <mergeCell ref="N26:N27"/>
    <mergeCell ref="E28:E29"/>
    <mergeCell ref="F28:F29"/>
    <mergeCell ref="G28:G29"/>
    <mergeCell ref="H28:H29"/>
    <mergeCell ref="I28:I29"/>
    <mergeCell ref="J28:J29"/>
    <mergeCell ref="K28:K29"/>
    <mergeCell ref="L28:L29"/>
    <mergeCell ref="M28:M29"/>
    <mergeCell ref="H35:H36"/>
    <mergeCell ref="I35:I36"/>
    <mergeCell ref="A45:A46"/>
    <mergeCell ref="A47:A48"/>
    <mergeCell ref="A49:A50"/>
    <mergeCell ref="K56:M56"/>
    <mergeCell ref="K59:K63"/>
    <mergeCell ref="K39:K40"/>
    <mergeCell ref="E41:E42"/>
    <mergeCell ref="F41:F42"/>
    <mergeCell ref="G41:G42"/>
    <mergeCell ref="H41:H42"/>
    <mergeCell ref="I41:I42"/>
    <mergeCell ref="J41:J42"/>
    <mergeCell ref="K41:K42"/>
    <mergeCell ref="B45:B46"/>
    <mergeCell ref="B47:B48"/>
    <mergeCell ref="B49:B50"/>
    <mergeCell ref="K33:K34"/>
    <mergeCell ref="E35:E36"/>
    <mergeCell ref="F35:F36"/>
    <mergeCell ref="G35:G36"/>
    <mergeCell ref="C45:C46"/>
    <mergeCell ref="D45:D46"/>
    <mergeCell ref="E45:E46"/>
    <mergeCell ref="F45:F46"/>
    <mergeCell ref="G45:G46"/>
    <mergeCell ref="H45:H46"/>
    <mergeCell ref="I45:I46"/>
    <mergeCell ref="C35:C36"/>
    <mergeCell ref="D35:D36"/>
    <mergeCell ref="C33:C34"/>
    <mergeCell ref="D33:D34"/>
    <mergeCell ref="E37:E38"/>
    <mergeCell ref="F37:F38"/>
    <mergeCell ref="G37:G38"/>
    <mergeCell ref="H37:H38"/>
    <mergeCell ref="I37:I38"/>
    <mergeCell ref="J37:J38"/>
    <mergeCell ref="K37:K38"/>
    <mergeCell ref="Q64:Q65"/>
    <mergeCell ref="S64:S65"/>
    <mergeCell ref="Q57:Q58"/>
    <mergeCell ref="R57:R58"/>
    <mergeCell ref="C47:C48"/>
    <mergeCell ref="D47:D48"/>
    <mergeCell ref="E47:E48"/>
    <mergeCell ref="F47:F48"/>
    <mergeCell ref="G47:G48"/>
    <mergeCell ref="H47:H48"/>
    <mergeCell ref="I47:I48"/>
    <mergeCell ref="R64:R65"/>
    <mergeCell ref="S51:S52"/>
    <mergeCell ref="S57:S58"/>
    <mergeCell ref="Q53:Q54"/>
    <mergeCell ref="R51:R52"/>
    <mergeCell ref="Q47:Q48"/>
    <mergeCell ref="R47:R48"/>
    <mergeCell ref="S47:S48"/>
    <mergeCell ref="Q61:AB61"/>
    <mergeCell ref="AA64:AA65"/>
    <mergeCell ref="AB64:AB65"/>
    <mergeCell ref="T64:T65"/>
    <mergeCell ref="U64:U65"/>
    <mergeCell ref="V64:V65"/>
    <mergeCell ref="W64:W65"/>
    <mergeCell ref="X64:X65"/>
    <mergeCell ref="Y64:Y65"/>
    <mergeCell ref="Z64:Z65"/>
    <mergeCell ref="W55:W56"/>
    <mergeCell ref="X55:X56"/>
    <mergeCell ref="Y55:Y56"/>
    <mergeCell ref="X51:X52"/>
    <mergeCell ref="AA68:AA69"/>
    <mergeCell ref="AB68:AB69"/>
    <mergeCell ref="C49:C50"/>
    <mergeCell ref="D49:D50"/>
    <mergeCell ref="E49:E50"/>
    <mergeCell ref="F49:F50"/>
    <mergeCell ref="G49:G50"/>
    <mergeCell ref="H49:H50"/>
    <mergeCell ref="I49:I50"/>
    <mergeCell ref="Q66:Q67"/>
    <mergeCell ref="S66:S67"/>
    <mergeCell ref="T66:T67"/>
    <mergeCell ref="U66:U67"/>
    <mergeCell ref="V66:V67"/>
    <mergeCell ref="W66:W67"/>
    <mergeCell ref="X66:X67"/>
    <mergeCell ref="Y66:Y67"/>
    <mergeCell ref="Z66:Z67"/>
    <mergeCell ref="AA66:AA67"/>
    <mergeCell ref="AB66:AB67"/>
    <mergeCell ref="Q68:Q69"/>
    <mergeCell ref="S68:S69"/>
    <mergeCell ref="T68:T69"/>
    <mergeCell ref="U68:U69"/>
    <mergeCell ref="V68:V69"/>
    <mergeCell ref="W68:W69"/>
    <mergeCell ref="X68:X69"/>
    <mergeCell ref="Y68:Y69"/>
    <mergeCell ref="Z68:Z69"/>
    <mergeCell ref="R66:R67"/>
    <mergeCell ref="R68:R69"/>
    <mergeCell ref="A15:A16"/>
    <mergeCell ref="C15:C16"/>
    <mergeCell ref="D15:D16"/>
    <mergeCell ref="A43:O43"/>
    <mergeCell ref="J49:J50"/>
    <mergeCell ref="K49:K50"/>
    <mergeCell ref="L49:L50"/>
    <mergeCell ref="M49:M50"/>
    <mergeCell ref="N49:N50"/>
    <mergeCell ref="O49:O50"/>
    <mergeCell ref="J47:J48"/>
    <mergeCell ref="K47:K48"/>
    <mergeCell ref="L47:L48"/>
    <mergeCell ref="M47:M48"/>
    <mergeCell ref="N47:N48"/>
    <mergeCell ref="O47:O48"/>
    <mergeCell ref="J45:J46"/>
    <mergeCell ref="K45:K46"/>
    <mergeCell ref="L45:L46"/>
    <mergeCell ref="M45:M46"/>
    <mergeCell ref="N45:N46"/>
    <mergeCell ref="O45:O46"/>
  </mergeCells>
  <hyperlinks>
    <hyperlink ref="A77" location="'Master Summary'!A1" display="Return To Master Summary"/>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249977111117893"/>
  </sheetPr>
  <dimension ref="A1:Y63"/>
  <sheetViews>
    <sheetView topLeftCell="H27" zoomScale="70" zoomScaleNormal="70" workbookViewId="0">
      <selection activeCell="N44" sqref="N44"/>
    </sheetView>
  </sheetViews>
  <sheetFormatPr defaultColWidth="9.109375" defaultRowHeight="14.4"/>
  <cols>
    <col min="1" max="2" width="17.5546875" style="95" customWidth="1"/>
    <col min="3" max="3" width="20.44140625" style="95" customWidth="1"/>
    <col min="4" max="4" width="21.6640625" style="95" customWidth="1"/>
    <col min="5" max="5" width="28" style="95" customWidth="1"/>
    <col min="6" max="6" width="19.5546875" style="95" customWidth="1"/>
    <col min="7" max="7" width="21" style="95" customWidth="1"/>
    <col min="8" max="8" width="16.88671875" style="95" customWidth="1"/>
    <col min="9" max="10" width="19.5546875" style="95" customWidth="1"/>
    <col min="11" max="11" width="20" style="95" customWidth="1"/>
    <col min="12" max="12" width="19.44140625" style="95" customWidth="1"/>
    <col min="13" max="13" width="23.44140625" style="95" customWidth="1"/>
    <col min="14" max="14" width="20" style="95" customWidth="1"/>
    <col min="15" max="15" width="17.6640625" style="95" customWidth="1"/>
    <col min="16" max="16" width="9.109375" style="95"/>
    <col min="17" max="18" width="19.109375" style="95" customWidth="1"/>
    <col min="19" max="19" width="19.44140625" style="95" customWidth="1"/>
    <col min="20" max="20" width="20.33203125" style="95" customWidth="1"/>
    <col min="21" max="21" width="18.88671875" style="95" customWidth="1"/>
    <col min="22" max="22" width="19.33203125" style="95" customWidth="1"/>
    <col min="23" max="23" width="17.88671875" style="95" customWidth="1"/>
    <col min="24" max="24" width="19.5546875" style="95" customWidth="1"/>
    <col min="25" max="25" width="23.6640625" style="95" customWidth="1"/>
    <col min="26" max="16384" width="9.109375" style="95"/>
  </cols>
  <sheetData>
    <row r="1" spans="1:25" ht="15" thickBot="1"/>
    <row r="2" spans="1:25" ht="18">
      <c r="B2" s="1843" t="s">
        <v>1905</v>
      </c>
      <c r="C2" s="1844"/>
      <c r="D2" s="1844"/>
      <c r="E2" s="1844"/>
      <c r="F2" s="1844"/>
      <c r="G2" s="1844"/>
      <c r="H2" s="1844"/>
      <c r="I2" s="1844"/>
      <c r="J2" s="1844"/>
      <c r="K2" s="1844"/>
      <c r="L2" s="1844"/>
      <c r="M2" s="1844"/>
      <c r="N2" s="1845"/>
    </row>
    <row r="3" spans="1:25" ht="28.8">
      <c r="B3" s="1994" t="s">
        <v>1909</v>
      </c>
      <c r="C3" s="1992" t="s">
        <v>1910</v>
      </c>
      <c r="D3" s="1849" t="s">
        <v>655</v>
      </c>
      <c r="E3" s="1849"/>
      <c r="F3" s="1849"/>
      <c r="G3" s="1849"/>
      <c r="H3" s="1849"/>
      <c r="I3" s="2000" t="s">
        <v>240</v>
      </c>
      <c r="J3" s="1849" t="s">
        <v>184</v>
      </c>
      <c r="K3" s="1849"/>
      <c r="L3" s="1849"/>
      <c r="M3" s="244" t="s">
        <v>303</v>
      </c>
      <c r="N3" s="1664" t="s">
        <v>1908</v>
      </c>
    </row>
    <row r="4" spans="1:25" ht="100.8">
      <c r="B4" s="1995"/>
      <c r="C4" s="1993"/>
      <c r="D4" s="1627" t="s">
        <v>1903</v>
      </c>
      <c r="E4" s="1627" t="s">
        <v>1902</v>
      </c>
      <c r="F4" s="1627" t="s">
        <v>1917</v>
      </c>
      <c r="G4" s="1627" t="s">
        <v>1918</v>
      </c>
      <c r="H4" s="1627" t="s">
        <v>1916</v>
      </c>
      <c r="I4" s="2000"/>
      <c r="J4" s="232" t="s">
        <v>1907</v>
      </c>
      <c r="K4" s="232" t="s">
        <v>1906</v>
      </c>
      <c r="L4" s="1627" t="s">
        <v>1911</v>
      </c>
      <c r="M4" s="1627" t="s">
        <v>1912</v>
      </c>
      <c r="N4" s="248" t="s">
        <v>1913</v>
      </c>
    </row>
    <row r="5" spans="1:25">
      <c r="B5" s="1656" t="s">
        <v>199</v>
      </c>
      <c r="C5" s="230" t="s">
        <v>1887</v>
      </c>
      <c r="D5" s="255">
        <f>Y47</f>
        <v>503.31726968126065</v>
      </c>
      <c r="E5" s="255">
        <f>Y36</f>
        <v>621.54985307150616</v>
      </c>
      <c r="F5" s="97" t="s">
        <v>22</v>
      </c>
      <c r="G5" s="255">
        <f>Y15</f>
        <v>739.78243646175156</v>
      </c>
      <c r="H5" s="507" t="s">
        <v>22</v>
      </c>
      <c r="I5" s="1661">
        <f>E15</f>
        <v>3919.0703323322609</v>
      </c>
      <c r="J5" s="1666">
        <f>D26</f>
        <v>236.4651667804909</v>
      </c>
      <c r="K5" s="1666">
        <f>D15</f>
        <v>118.2325833902454</v>
      </c>
      <c r="L5" s="1655" t="s">
        <v>22</v>
      </c>
      <c r="M5" s="231">
        <f>N15</f>
        <v>704.42629815470639</v>
      </c>
      <c r="N5" s="236">
        <f>O15</f>
        <v>1523.5965029282038</v>
      </c>
    </row>
    <row r="6" spans="1:25">
      <c r="B6" s="1656" t="s">
        <v>199</v>
      </c>
      <c r="C6" s="230" t="s">
        <v>1901</v>
      </c>
      <c r="D6" s="255">
        <f>Y49</f>
        <v>872.04316257740595</v>
      </c>
      <c r="E6" s="255">
        <f>Y38</f>
        <v>963.8814054763119</v>
      </c>
      <c r="F6" s="97" t="s">
        <v>22</v>
      </c>
      <c r="G6" s="255">
        <f>Y17</f>
        <v>1055.719648375218</v>
      </c>
      <c r="H6" s="507" t="s">
        <v>22</v>
      </c>
      <c r="I6" s="1661">
        <f>E17</f>
        <v>761.82329702964682</v>
      </c>
      <c r="J6" s="1666">
        <f>D28</f>
        <v>183.67648579781201</v>
      </c>
      <c r="K6" s="1666">
        <f>D17</f>
        <v>91.83824289890606</v>
      </c>
      <c r="L6" s="1655" t="s">
        <v>22</v>
      </c>
      <c r="M6" s="231">
        <f>N17</f>
        <v>557.43752168191247</v>
      </c>
      <c r="N6" s="236">
        <f>O17</f>
        <v>1208.0843077811473</v>
      </c>
    </row>
    <row r="7" spans="1:25" ht="26.4">
      <c r="B7" s="1656" t="s">
        <v>216</v>
      </c>
      <c r="C7" s="230" t="s">
        <v>1901</v>
      </c>
      <c r="D7" s="255">
        <f>Y51</f>
        <v>1301.3406104128346</v>
      </c>
      <c r="E7" s="255">
        <f>Y40</f>
        <v>1301.3406104128346</v>
      </c>
      <c r="F7" s="255">
        <f>Y58</f>
        <v>1553.4455415195966</v>
      </c>
      <c r="G7" s="255">
        <f>Y19</f>
        <v>1326.5511035235102</v>
      </c>
      <c r="H7" s="1655">
        <f>Y26</f>
        <v>1553.4455415195966</v>
      </c>
      <c r="I7" s="1660">
        <f>E19</f>
        <v>621.4120398203537</v>
      </c>
      <c r="J7" s="1666">
        <f>D30</f>
        <v>25.210493110675543</v>
      </c>
      <c r="K7" s="1666">
        <f>D19</f>
        <v>25.210493110675543</v>
      </c>
      <c r="L7" s="255">
        <f>D37</f>
        <v>0</v>
      </c>
      <c r="M7" s="231">
        <f>N37</f>
        <v>584.42375503134326</v>
      </c>
      <c r="N7" s="236">
        <f>O37</f>
        <v>1628.0149862980393</v>
      </c>
    </row>
    <row r="8" spans="1:25" ht="26.4">
      <c r="B8" s="1656" t="s">
        <v>217</v>
      </c>
      <c r="C8" s="230" t="s">
        <v>1901</v>
      </c>
      <c r="D8" s="255">
        <f>Y53</f>
        <v>1284.438120544791</v>
      </c>
      <c r="E8" s="255">
        <f>Y42</f>
        <v>1284.438120544791</v>
      </c>
      <c r="F8" s="255">
        <f>Y60</f>
        <v>1392.0028911503434</v>
      </c>
      <c r="G8" s="255">
        <f>Y21</f>
        <v>1297.8837168704854</v>
      </c>
      <c r="H8" s="1655">
        <f>Y28</f>
        <v>1392.0028911503434</v>
      </c>
      <c r="I8" s="1661">
        <f>E21</f>
        <v>621.4120398203537</v>
      </c>
      <c r="J8" s="1666">
        <f>D32</f>
        <v>13.445596325694396</v>
      </c>
      <c r="K8" s="1666">
        <f>D21</f>
        <v>13.445596325694396</v>
      </c>
      <c r="L8" s="255">
        <f t="shared" ref="L8:L9" si="0">D38</f>
        <v>0</v>
      </c>
      <c r="M8" s="231">
        <f>N39</f>
        <v>557.95115248995307</v>
      </c>
      <c r="N8" s="236">
        <f>O39</f>
        <v>1431.773261698846</v>
      </c>
    </row>
    <row r="9" spans="1:25" ht="24.6" thickBot="1">
      <c r="B9" s="1667" t="s">
        <v>218</v>
      </c>
      <c r="C9" s="241" t="s">
        <v>1901</v>
      </c>
      <c r="D9" s="256">
        <f>Y55</f>
        <v>1288.9318089689191</v>
      </c>
      <c r="E9" s="256">
        <f>Y44</f>
        <v>1288.9318089689191</v>
      </c>
      <c r="F9" s="256">
        <f>Y62</f>
        <v>1334.3106965681363</v>
      </c>
      <c r="G9" s="256">
        <f>Y23</f>
        <v>1319.1844007017307</v>
      </c>
      <c r="H9" s="1658">
        <f>Y30</f>
        <v>1334.3106965681363</v>
      </c>
      <c r="I9" s="256">
        <f>E23</f>
        <v>621.4120398203537</v>
      </c>
      <c r="J9" s="1668">
        <f>D34</f>
        <v>30.252591732811652</v>
      </c>
      <c r="K9" s="1668">
        <f>D23</f>
        <v>30.252591732811652</v>
      </c>
      <c r="L9" s="256">
        <f t="shared" si="0"/>
        <v>0</v>
      </c>
      <c r="M9" s="242">
        <f>N41</f>
        <v>556.4679876884187</v>
      </c>
      <c r="N9" s="243">
        <f>O41</f>
        <v>1349.2245855238248</v>
      </c>
    </row>
    <row r="11" spans="1:25">
      <c r="A11" s="2001" t="s">
        <v>1804</v>
      </c>
      <c r="B11" s="2002"/>
      <c r="C11" s="2002"/>
      <c r="D11" s="2002"/>
      <c r="E11" s="2002"/>
      <c r="F11" s="2002"/>
      <c r="G11" s="2002"/>
      <c r="H11" s="2002"/>
      <c r="I11" s="2002"/>
      <c r="J11" s="2002"/>
      <c r="K11" s="2002"/>
      <c r="L11" s="2002"/>
      <c r="M11" s="2002"/>
      <c r="N11" s="2002"/>
      <c r="O11" s="2002"/>
      <c r="P11" s="2002"/>
      <c r="Q11" s="2002"/>
      <c r="R11" s="2002"/>
      <c r="S11" s="2002"/>
      <c r="T11" s="2002"/>
      <c r="U11" s="2002"/>
      <c r="V11" s="2002"/>
      <c r="W11" s="2002"/>
      <c r="X11" s="2002"/>
      <c r="Y11" s="2002"/>
    </row>
    <row r="12" spans="1:25">
      <c r="A12" s="1997" t="s">
        <v>772</v>
      </c>
      <c r="B12" s="1998"/>
      <c r="C12" s="1998"/>
      <c r="D12" s="1998"/>
      <c r="E12" s="1998"/>
      <c r="F12" s="1998"/>
      <c r="G12" s="1998"/>
      <c r="H12" s="1998"/>
      <c r="I12" s="1998"/>
      <c r="J12" s="1998"/>
      <c r="K12" s="1998"/>
      <c r="L12" s="1998"/>
      <c r="M12" s="1998"/>
      <c r="N12" s="1998"/>
      <c r="O12" s="1998"/>
      <c r="Q12" s="2004" t="s">
        <v>676</v>
      </c>
      <c r="R12" s="1998"/>
      <c r="S12" s="2005"/>
      <c r="T12" s="2005"/>
      <c r="U12" s="2005"/>
      <c r="V12" s="2005"/>
      <c r="W12" s="2005"/>
      <c r="X12" s="2005"/>
      <c r="Y12" s="2006"/>
    </row>
    <row r="13" spans="1:25" ht="51.75" customHeight="1">
      <c r="A13" s="141" t="s">
        <v>211</v>
      </c>
      <c r="B13" s="141" t="s">
        <v>1892</v>
      </c>
      <c r="C13" s="141" t="s">
        <v>727</v>
      </c>
      <c r="D13" s="141" t="s">
        <v>431</v>
      </c>
      <c r="E13" s="1644" t="s">
        <v>733</v>
      </c>
      <c r="F13" s="1645" t="s">
        <v>621</v>
      </c>
      <c r="G13" s="1645" t="s">
        <v>622</v>
      </c>
      <c r="H13" s="1645" t="s">
        <v>261</v>
      </c>
      <c r="I13" s="1646" t="s">
        <v>623</v>
      </c>
      <c r="J13" s="1646" t="s">
        <v>624</v>
      </c>
      <c r="K13" s="1646" t="s">
        <v>629</v>
      </c>
      <c r="L13" s="1647" t="s">
        <v>625</v>
      </c>
      <c r="M13" s="1648" t="s">
        <v>721</v>
      </c>
      <c r="N13" s="1648" t="s">
        <v>1877</v>
      </c>
      <c r="O13" s="1996" t="s">
        <v>1893</v>
      </c>
      <c r="Q13" s="138" t="s">
        <v>211</v>
      </c>
      <c r="R13" s="138"/>
      <c r="S13" s="138" t="s">
        <v>525</v>
      </c>
      <c r="T13" s="138" t="s">
        <v>206</v>
      </c>
      <c r="U13" s="138" t="s">
        <v>527</v>
      </c>
      <c r="V13" s="138" t="s">
        <v>731</v>
      </c>
      <c r="W13" s="138" t="s">
        <v>728</v>
      </c>
      <c r="X13" s="138" t="s">
        <v>729</v>
      </c>
      <c r="Y13" s="138" t="s">
        <v>434</v>
      </c>
    </row>
    <row r="14" spans="1:25" ht="48.75" customHeight="1">
      <c r="A14" s="1950" t="s">
        <v>1894</v>
      </c>
      <c r="B14" s="1950"/>
      <c r="C14" s="1950"/>
      <c r="D14" s="1950"/>
      <c r="E14" s="1950"/>
      <c r="F14" s="1950"/>
      <c r="G14" s="1950"/>
      <c r="H14" s="1950"/>
      <c r="I14" s="1950"/>
      <c r="J14" s="1950"/>
      <c r="K14" s="1950"/>
      <c r="L14" s="1950"/>
      <c r="M14" s="1950"/>
      <c r="N14" s="1950"/>
      <c r="O14" s="1996"/>
      <c r="Q14" s="1950" t="s">
        <v>456</v>
      </c>
      <c r="R14" s="1950"/>
      <c r="S14" s="1950"/>
      <c r="T14" s="1950"/>
      <c r="U14" s="1950"/>
      <c r="V14" s="1950"/>
      <c r="W14" s="1950"/>
      <c r="X14" s="1950"/>
      <c r="Y14" s="1950"/>
    </row>
    <row r="15" spans="1:25" ht="16.5" customHeight="1">
      <c r="A15" s="1948" t="s">
        <v>199</v>
      </c>
      <c r="B15" s="1948" t="s">
        <v>1887</v>
      </c>
      <c r="C15" s="2011">
        <f>X15-X36</f>
        <v>591.16291695122709</v>
      </c>
      <c r="D15" s="2011">
        <f>Y15-Y36</f>
        <v>118.2325833902454</v>
      </c>
      <c r="E15" s="1963">
        <f>N50</f>
        <v>3919.0703323322609</v>
      </c>
      <c r="F15" s="1964">
        <v>0.05</v>
      </c>
      <c r="G15" s="1965">
        <v>15</v>
      </c>
      <c r="H15" s="1966">
        <f>G15/3</f>
        <v>5</v>
      </c>
      <c r="I15" s="1952">
        <f>((1+$F15)^H15-1)/($F15*(1+$F15)^H15)</f>
        <v>4.3294766706308208</v>
      </c>
      <c r="J15" s="1951">
        <f>((1+$F15)^G15-1)/($F15*(1+$F15)^G15)</f>
        <v>10.379658038180596</v>
      </c>
      <c r="K15" s="1951">
        <f>I15/J15</f>
        <v>0.41711168659942827</v>
      </c>
      <c r="L15" s="1952">
        <f>(X36+E15)*K15</f>
        <v>2930.9685738223047</v>
      </c>
      <c r="M15" s="1958">
        <f>L15+C15</f>
        <v>3522.1314907735318</v>
      </c>
      <c r="N15" s="1962">
        <f>M15/T15</f>
        <v>704.42629815470639</v>
      </c>
      <c r="O15" s="1958">
        <f>(E15+X15)/T15</f>
        <v>1523.5965029282038</v>
      </c>
      <c r="Q15" s="1978" t="s">
        <v>199</v>
      </c>
      <c r="R15" s="1990" t="s">
        <v>1887</v>
      </c>
      <c r="S15" s="1948">
        <v>60000</v>
      </c>
      <c r="T15" s="1955">
        <f>S15/12000</f>
        <v>5</v>
      </c>
      <c r="U15" s="1989">
        <v>15</v>
      </c>
      <c r="V15" s="2007" t="s">
        <v>204</v>
      </c>
      <c r="W15" s="1980">
        <f>('Equipment Results Matrix'!$T$143+'Equipment Results Matrix'!$R$136*S15+'Equipment Results Matrix'!$R$137*U15)*1.2</f>
        <v>3430.6568855999999</v>
      </c>
      <c r="X15" s="1959">
        <f>W15*Inflation!$D$3</f>
        <v>3698.912182308758</v>
      </c>
      <c r="Y15" s="1959">
        <f xml:space="preserve"> X15/T15</f>
        <v>739.78243646175156</v>
      </c>
    </row>
    <row r="16" spans="1:25" ht="15" customHeight="1">
      <c r="A16" s="1948"/>
      <c r="B16" s="1948"/>
      <c r="C16" s="2011"/>
      <c r="D16" s="2011"/>
      <c r="E16" s="1963"/>
      <c r="F16" s="1964"/>
      <c r="G16" s="1965"/>
      <c r="H16" s="1966"/>
      <c r="I16" s="1952"/>
      <c r="J16" s="1951"/>
      <c r="K16" s="1951"/>
      <c r="L16" s="1952"/>
      <c r="M16" s="1958"/>
      <c r="N16" s="1962"/>
      <c r="O16" s="1958"/>
      <c r="Q16" s="1979"/>
      <c r="R16" s="1979"/>
      <c r="S16" s="1948"/>
      <c r="T16" s="1955"/>
      <c r="U16" s="1989"/>
      <c r="V16" s="1985"/>
      <c r="W16" s="1981"/>
      <c r="X16" s="1757"/>
      <c r="Y16" s="1959"/>
    </row>
    <row r="17" spans="1:25" ht="15" customHeight="1">
      <c r="A17" s="1948"/>
      <c r="B17" s="1948" t="s">
        <v>1891</v>
      </c>
      <c r="C17" s="2011">
        <f>X17-X38</f>
        <v>459.19121449452996</v>
      </c>
      <c r="D17" s="2011">
        <f>Y17-Y38</f>
        <v>91.83824289890606</v>
      </c>
      <c r="E17" s="1963">
        <f>N51</f>
        <v>761.82329702964682</v>
      </c>
      <c r="F17" s="1964">
        <v>0.05</v>
      </c>
      <c r="G17" s="1965">
        <v>15</v>
      </c>
      <c r="H17" s="1966">
        <f>G17/3</f>
        <v>5</v>
      </c>
      <c r="I17" s="1952">
        <f>((1+$F17)^H17-1)/($F17*(1+$F17)^H17)</f>
        <v>4.3294766706308208</v>
      </c>
      <c r="J17" s="1951">
        <f>((1+$F17)^G17-1)/($F17*(1+$F17)^G17)</f>
        <v>10.379658038180596</v>
      </c>
      <c r="K17" s="1951">
        <f>I17/J17</f>
        <v>0.41711168659942827</v>
      </c>
      <c r="L17" s="1952">
        <f>(X38+E17)*K17</f>
        <v>2327.9963939150325</v>
      </c>
      <c r="M17" s="1953">
        <f>L17+C17</f>
        <v>2787.1876084095625</v>
      </c>
      <c r="N17" s="1953">
        <f>M17/T17</f>
        <v>557.43752168191247</v>
      </c>
      <c r="O17" s="1958">
        <f t="shared" ref="O17" si="1">(E17+X17)/T17</f>
        <v>1208.0843077811473</v>
      </c>
      <c r="Q17" s="1978" t="s">
        <v>199</v>
      </c>
      <c r="R17" s="1990" t="s">
        <v>1891</v>
      </c>
      <c r="S17" s="1948">
        <v>60000</v>
      </c>
      <c r="T17" s="1955">
        <f>S17/12000</f>
        <v>5</v>
      </c>
      <c r="U17" s="1989">
        <v>15</v>
      </c>
      <c r="V17" s="2007" t="s">
        <v>204</v>
      </c>
      <c r="W17" s="1980">
        <f>('Equipment Results Matrix'!$T$298+'Equipment Results Matrix'!$R$291*$S17+'Equipment Results Matrix'!$R$292*U17+'Equipment Results Matrix'!$R$293)*1.2</f>
        <v>4895.7797623367987</v>
      </c>
      <c r="X17" s="1959">
        <f>W17*Inflation!$D$3</f>
        <v>5278.5982418760896</v>
      </c>
      <c r="Y17" s="1959">
        <f xml:space="preserve"> X17/T17</f>
        <v>1055.719648375218</v>
      </c>
    </row>
    <row r="18" spans="1:25" ht="15" customHeight="1">
      <c r="A18" s="1948"/>
      <c r="B18" s="1948"/>
      <c r="C18" s="2011"/>
      <c r="D18" s="2011"/>
      <c r="E18" s="1963"/>
      <c r="F18" s="1964"/>
      <c r="G18" s="1965"/>
      <c r="H18" s="1966"/>
      <c r="I18" s="1952"/>
      <c r="J18" s="1951"/>
      <c r="K18" s="1951"/>
      <c r="L18" s="1952"/>
      <c r="M18" s="1953"/>
      <c r="N18" s="1953"/>
      <c r="O18" s="1958"/>
      <c r="Q18" s="1979"/>
      <c r="R18" s="1979"/>
      <c r="S18" s="1948"/>
      <c r="T18" s="1955"/>
      <c r="U18" s="1989"/>
      <c r="V18" s="1985"/>
      <c r="W18" s="1981"/>
      <c r="X18" s="1757"/>
      <c r="Y18" s="1959"/>
    </row>
    <row r="19" spans="1:25" ht="15" customHeight="1">
      <c r="A19" s="1954" t="s">
        <v>216</v>
      </c>
      <c r="B19" s="1948" t="s">
        <v>1891</v>
      </c>
      <c r="C19" s="2011">
        <f>X19-X40</f>
        <v>210.08744258896331</v>
      </c>
      <c r="D19" s="2011">
        <f>Y19-Y40</f>
        <v>25.210493110675543</v>
      </c>
      <c r="E19" s="1963">
        <f>$N$52</f>
        <v>621.4120398203537</v>
      </c>
      <c r="F19" s="1964">
        <v>0.05</v>
      </c>
      <c r="G19" s="1965">
        <v>15</v>
      </c>
      <c r="H19" s="1966">
        <f>G19/3</f>
        <v>5</v>
      </c>
      <c r="I19" s="1952">
        <f t="shared" ref="I19" si="2">((1+$F19)^H19-1)/($F19*(1+$F19)^H19)</f>
        <v>4.3294766706308208</v>
      </c>
      <c r="J19" s="1951">
        <f t="shared" ref="J19" si="3">((1+$F19)^G19-1)/($F19*(1+$F19)^G19)</f>
        <v>10.379658038180596</v>
      </c>
      <c r="K19" s="1951">
        <f>I19/J19</f>
        <v>0.41711168659942827</v>
      </c>
      <c r="L19" s="1952">
        <f>(X40+E19)*K19</f>
        <v>4782.5680310828839</v>
      </c>
      <c r="M19" s="1953">
        <f t="shared" ref="M19" si="4">L19+C19</f>
        <v>4992.6554736718472</v>
      </c>
      <c r="N19" s="1953">
        <f>M19/T19</f>
        <v>599.11865684062161</v>
      </c>
      <c r="O19" s="1958">
        <f t="shared" ref="O19" si="5">(E19+X19)/T19</f>
        <v>1401.1205483019528</v>
      </c>
      <c r="Q19" s="1954" t="s">
        <v>216</v>
      </c>
      <c r="R19" s="1990" t="s">
        <v>1891</v>
      </c>
      <c r="S19" s="1948">
        <f>(65000+135000)/2</f>
        <v>100000</v>
      </c>
      <c r="T19" s="1974">
        <f>S19/12000</f>
        <v>8.3333333333333339</v>
      </c>
      <c r="U19" s="1957">
        <v>11.1</v>
      </c>
      <c r="V19" s="2009" t="s">
        <v>521</v>
      </c>
      <c r="W19" s="1980">
        <f>('Equipment Results Matrix'!$T$309+'Equipment Results Matrix'!$R$302*$S19+'Equipment Results Matrix'!$R$303*U19+'Equipment Results Matrix'!$R$306+'Equipment Results Matrix'!$R$304)*1.2</f>
        <v>10252.883039436922</v>
      </c>
      <c r="X19" s="1959">
        <f>W19*Inflation!$D$3</f>
        <v>11054.592529362586</v>
      </c>
      <c r="Y19" s="1959">
        <f xml:space="preserve"> X19/T19</f>
        <v>1326.5511035235102</v>
      </c>
    </row>
    <row r="20" spans="1:25" ht="15" customHeight="1">
      <c r="A20" s="1954"/>
      <c r="B20" s="1948"/>
      <c r="C20" s="2011"/>
      <c r="D20" s="2011"/>
      <c r="E20" s="1963"/>
      <c r="F20" s="1964"/>
      <c r="G20" s="1965"/>
      <c r="H20" s="1966"/>
      <c r="I20" s="1952"/>
      <c r="J20" s="1951"/>
      <c r="K20" s="1951"/>
      <c r="L20" s="1952"/>
      <c r="M20" s="1953"/>
      <c r="N20" s="1953"/>
      <c r="O20" s="1958"/>
      <c r="Q20" s="1954"/>
      <c r="R20" s="1979"/>
      <c r="S20" s="1948"/>
      <c r="T20" s="1975"/>
      <c r="U20" s="1957"/>
      <c r="V20" s="1977"/>
      <c r="W20" s="1981"/>
      <c r="X20" s="1757"/>
      <c r="Y20" s="1959"/>
    </row>
    <row r="21" spans="1:25" ht="45" customHeight="1">
      <c r="A21" s="1954" t="s">
        <v>217</v>
      </c>
      <c r="B21" s="1948" t="s">
        <v>1891</v>
      </c>
      <c r="C21" s="2011">
        <f>X21-X42</f>
        <v>210.08744258897423</v>
      </c>
      <c r="D21" s="2011">
        <f>Y21-Y42</f>
        <v>13.445596325694396</v>
      </c>
      <c r="E21" s="1963">
        <f>$N$52</f>
        <v>621.4120398203537</v>
      </c>
      <c r="F21" s="1964">
        <v>0.05</v>
      </c>
      <c r="G21" s="1965">
        <v>15</v>
      </c>
      <c r="H21" s="1966">
        <f>G21/3</f>
        <v>5</v>
      </c>
      <c r="I21" s="1952">
        <f t="shared" ref="I21" si="6">((1+$F21)^H21-1)/($F21*(1+$F21)^H21)</f>
        <v>4.3294766706308208</v>
      </c>
      <c r="J21" s="1951">
        <f t="shared" ref="J21" si="7">((1+$F21)^G21-1)/($F21*(1+$F21)^G21)</f>
        <v>10.379658038180596</v>
      </c>
      <c r="K21" s="1951">
        <f>I21/J21</f>
        <v>0.41711168659942827</v>
      </c>
      <c r="L21" s="1952">
        <f>(X42+E21)*K21</f>
        <v>8630.35683014387</v>
      </c>
      <c r="M21" s="1953">
        <f t="shared" ref="M21" si="8">L21+C21</f>
        <v>8840.4442727328442</v>
      </c>
      <c r="N21" s="1953">
        <f>M21/T21</f>
        <v>565.78843345490202</v>
      </c>
      <c r="O21" s="1958">
        <f t="shared" ref="O21" si="9">(E21+X21)/T21</f>
        <v>1337.654087418988</v>
      </c>
      <c r="Q21" s="1954" t="s">
        <v>217</v>
      </c>
      <c r="R21" s="1990" t="s">
        <v>1891</v>
      </c>
      <c r="S21" s="1948">
        <v>187500</v>
      </c>
      <c r="T21" s="1955">
        <f>S21/12000</f>
        <v>15.625</v>
      </c>
      <c r="U21" s="1957">
        <v>10.7</v>
      </c>
      <c r="V21" s="2009" t="s">
        <v>521</v>
      </c>
      <c r="W21" s="1980">
        <f>('Equipment Results Matrix'!$T$309+'Equipment Results Matrix'!$R$302*$S21+'Equipment Results Matrix'!$R$303*U21+'Equipment Results Matrix'!$R$306+'Equipment Results Matrix'!$R$304)*1.2</f>
        <v>18808.712748396923</v>
      </c>
      <c r="X21" s="1959">
        <f>W21*Inflation!$D$3</f>
        <v>20279.433076101333</v>
      </c>
      <c r="Y21" s="1959">
        <f xml:space="preserve"> X21/T21</f>
        <v>1297.8837168704854</v>
      </c>
    </row>
    <row r="22" spans="1:25" ht="15" customHeight="1">
      <c r="A22" s="1954"/>
      <c r="B22" s="1948"/>
      <c r="C22" s="2011"/>
      <c r="D22" s="2011"/>
      <c r="E22" s="1963"/>
      <c r="F22" s="1964"/>
      <c r="G22" s="1965"/>
      <c r="H22" s="1966"/>
      <c r="I22" s="1952"/>
      <c r="J22" s="1951"/>
      <c r="K22" s="1951"/>
      <c r="L22" s="1952"/>
      <c r="M22" s="1953"/>
      <c r="N22" s="1953"/>
      <c r="O22" s="1958"/>
      <c r="Q22" s="1954"/>
      <c r="R22" s="1979"/>
      <c r="S22" s="1948"/>
      <c r="T22" s="1955"/>
      <c r="U22" s="1957"/>
      <c r="V22" s="1977"/>
      <c r="W22" s="1981"/>
      <c r="X22" s="1757"/>
      <c r="Y22" s="1959"/>
    </row>
    <row r="23" spans="1:25" ht="15" customHeight="1">
      <c r="A23" s="1954" t="s">
        <v>218</v>
      </c>
      <c r="B23" s="1948" t="s">
        <v>1891</v>
      </c>
      <c r="C23" s="2011">
        <f>X23-X44</f>
        <v>1260.5246555338235</v>
      </c>
      <c r="D23" s="2011">
        <f>Y23-Y44</f>
        <v>30.252591732811652</v>
      </c>
      <c r="E23" s="1963">
        <f>$N$52</f>
        <v>621.4120398203537</v>
      </c>
      <c r="F23" s="1964">
        <v>0.05</v>
      </c>
      <c r="G23" s="1965">
        <v>15</v>
      </c>
      <c r="H23" s="1966">
        <f>G23/3</f>
        <v>5</v>
      </c>
      <c r="I23" s="1952">
        <f t="shared" ref="I23" si="10">((1+$F23)^H23-1)/($F23*(1+$F23)^H23)</f>
        <v>4.3294766706308208</v>
      </c>
      <c r="J23" s="1951">
        <f t="shared" ref="J23" si="11">((1+$F23)^G23-1)/($F23*(1+$F23)^G23)</f>
        <v>10.379658038180596</v>
      </c>
      <c r="K23" s="1951">
        <f>I23/J23</f>
        <v>0.41711168659942827</v>
      </c>
      <c r="L23" s="1952">
        <f>(X44+E23)*K23</f>
        <v>22660.386588614238</v>
      </c>
      <c r="M23" s="1953">
        <f t="shared" ref="M23" si="12">L23+C23</f>
        <v>23920.911244148061</v>
      </c>
      <c r="N23" s="1953">
        <f>M23/T23</f>
        <v>574.10186985955352</v>
      </c>
      <c r="O23" s="1958">
        <f>(E23+X23)/T23</f>
        <v>1334.0982896574192</v>
      </c>
      <c r="Q23" s="1954" t="s">
        <v>218</v>
      </c>
      <c r="R23" s="1990" t="s">
        <v>1891</v>
      </c>
      <c r="S23" s="1948">
        <f>(240000+760000)/2</f>
        <v>500000</v>
      </c>
      <c r="T23" s="1955">
        <f>S23/12000</f>
        <v>41.666666666666664</v>
      </c>
      <c r="U23" s="1957">
        <v>10.1</v>
      </c>
      <c r="V23" s="2009" t="s">
        <v>521</v>
      </c>
      <c r="W23" s="1980">
        <f>('Equipment Results Matrix'!$T$309+'Equipment Results Matrix'!$R$302*$S23+'Equipment Results Matrix'!$R$303*U23+'Equipment Results Matrix'!$R$306+'Equipment Results Matrix'!$R$304)*1.2</f>
        <v>50979.729811836922</v>
      </c>
      <c r="X23" s="1959">
        <f>W23*Inflation!$D$3</f>
        <v>54966.016695905448</v>
      </c>
      <c r="Y23" s="1959">
        <f xml:space="preserve"> X23/T23</f>
        <v>1319.1844007017307</v>
      </c>
    </row>
    <row r="24" spans="1:25" ht="15" customHeight="1">
      <c r="A24" s="1954"/>
      <c r="B24" s="1948"/>
      <c r="C24" s="2011"/>
      <c r="D24" s="2011"/>
      <c r="E24" s="1963"/>
      <c r="F24" s="1964"/>
      <c r="G24" s="1965"/>
      <c r="H24" s="1966"/>
      <c r="I24" s="1952"/>
      <c r="J24" s="1951"/>
      <c r="K24" s="1951"/>
      <c r="L24" s="1952"/>
      <c r="M24" s="1953"/>
      <c r="N24" s="1953"/>
      <c r="O24" s="1958"/>
      <c r="Q24" s="1954"/>
      <c r="R24" s="1979"/>
      <c r="S24" s="1948"/>
      <c r="T24" s="1955"/>
      <c r="U24" s="1957"/>
      <c r="V24" s="1977"/>
      <c r="W24" s="1981"/>
      <c r="X24" s="1757"/>
      <c r="Y24" s="1959"/>
    </row>
    <row r="25" spans="1:25" ht="15" customHeight="1">
      <c r="A25" s="1950" t="s">
        <v>457</v>
      </c>
      <c r="B25" s="1950"/>
      <c r="C25" s="1950"/>
      <c r="D25" s="1950"/>
      <c r="E25" s="1950"/>
      <c r="F25" s="1950"/>
      <c r="G25" s="1950"/>
      <c r="H25" s="1950"/>
      <c r="I25" s="1950"/>
      <c r="J25" s="1950"/>
      <c r="K25" s="1950"/>
      <c r="L25" s="1950"/>
      <c r="M25" s="1950"/>
      <c r="N25" s="1950"/>
      <c r="O25" s="1950"/>
      <c r="Q25" s="2020" t="s">
        <v>1896</v>
      </c>
      <c r="R25" s="2021"/>
      <c r="S25" s="2021"/>
      <c r="T25" s="2021"/>
      <c r="U25" s="2021"/>
      <c r="V25" s="2021"/>
      <c r="W25" s="2021"/>
      <c r="X25" s="2021"/>
      <c r="Y25" s="2022"/>
    </row>
    <row r="26" spans="1:25" ht="15" customHeight="1">
      <c r="A26" s="1948" t="s">
        <v>199</v>
      </c>
      <c r="B26" s="1948" t="s">
        <v>1887</v>
      </c>
      <c r="C26" s="2011">
        <f>X15-X47</f>
        <v>1182.3258339024546</v>
      </c>
      <c r="D26" s="2011">
        <f>Y15-Y47</f>
        <v>236.4651667804909</v>
      </c>
      <c r="E26" s="1963">
        <f>N50</f>
        <v>3919.0703323322609</v>
      </c>
      <c r="F26" s="1964">
        <v>0.05</v>
      </c>
      <c r="G26" s="1965">
        <v>15</v>
      </c>
      <c r="H26" s="1966">
        <f>G26/3</f>
        <v>5</v>
      </c>
      <c r="I26" s="1952">
        <f>((1+$F26)^H26-1)/($F26*(1+$F26)^H26)</f>
        <v>4.3294766706308208</v>
      </c>
      <c r="J26" s="1951">
        <f>((1+$F26)^G26-1)/($F26*(1+$F26)^G26)</f>
        <v>10.379658038180596</v>
      </c>
      <c r="K26" s="1951">
        <f>I26/J26</f>
        <v>0.41711168659942827</v>
      </c>
      <c r="L26" s="1952">
        <f>(X47+E26)*K26</f>
        <v>2684.3876124777407</v>
      </c>
      <c r="M26" s="1953">
        <f>L26+C26</f>
        <v>3866.7134463801954</v>
      </c>
      <c r="N26" s="1953">
        <f>M26/T15</f>
        <v>773.3426892760391</v>
      </c>
      <c r="O26" s="1962">
        <f>(E15+X15)/T15</f>
        <v>1523.5965029282038</v>
      </c>
      <c r="Q26" s="1954" t="s">
        <v>216</v>
      </c>
      <c r="R26" s="1990" t="s">
        <v>1891</v>
      </c>
      <c r="S26" s="1948">
        <f>(65000+135000)/2</f>
        <v>100000</v>
      </c>
      <c r="T26" s="1974">
        <f>S26/12000</f>
        <v>8.3333333333333339</v>
      </c>
      <c r="U26" s="2019">
        <v>12</v>
      </c>
      <c r="V26" s="1956" t="s">
        <v>227</v>
      </c>
      <c r="W26" s="1980">
        <f>('Equipment Results Matrix'!$T$309+'Equipment Results Matrix'!$R$302*$S26+'Equipment Results Matrix'!$R$303*U26+'Equipment Results Matrix'!$R$306+'Equipment Results Matrix'!$R$304)*1.2</f>
        <v>12006.544944276924</v>
      </c>
      <c r="X26" s="1959">
        <f>W26*Inflation!$D$3</f>
        <v>12945.379512663307</v>
      </c>
      <c r="Y26" s="1959">
        <f xml:space="preserve"> X26/T26</f>
        <v>1553.4455415195966</v>
      </c>
    </row>
    <row r="27" spans="1:25" ht="15" customHeight="1">
      <c r="A27" s="1948"/>
      <c r="B27" s="1948"/>
      <c r="C27" s="2011"/>
      <c r="D27" s="2011"/>
      <c r="E27" s="1963"/>
      <c r="F27" s="1964"/>
      <c r="G27" s="1965"/>
      <c r="H27" s="1966"/>
      <c r="I27" s="1952"/>
      <c r="J27" s="1951"/>
      <c r="K27" s="1951"/>
      <c r="L27" s="1952"/>
      <c r="M27" s="1953"/>
      <c r="N27" s="1953"/>
      <c r="O27" s="1962"/>
      <c r="Q27" s="1954"/>
      <c r="R27" s="1979"/>
      <c r="S27" s="1948"/>
      <c r="T27" s="1975"/>
      <c r="U27" s="2019"/>
      <c r="V27" s="1956"/>
      <c r="W27" s="1981"/>
      <c r="X27" s="1757"/>
      <c r="Y27" s="1959"/>
    </row>
    <row r="28" spans="1:25" ht="15" customHeight="1">
      <c r="A28" s="1948"/>
      <c r="B28" s="1948" t="s">
        <v>1891</v>
      </c>
      <c r="C28" s="2011">
        <f>X17-X49</f>
        <v>918.38242898905992</v>
      </c>
      <c r="D28" s="2011">
        <f>Y17-Y49</f>
        <v>183.67648579781201</v>
      </c>
      <c r="E28" s="1963">
        <f>N51</f>
        <v>761.82329702964682</v>
      </c>
      <c r="F28" s="1964">
        <v>0.05</v>
      </c>
      <c r="G28" s="1965">
        <v>15</v>
      </c>
      <c r="H28" s="1966">
        <f>G28/3</f>
        <v>5</v>
      </c>
      <c r="I28" s="1952">
        <f>((1+$F28)^H28-1)/($F28*(1+$F28)^H28)</f>
        <v>4.3294766706308208</v>
      </c>
      <c r="J28" s="1951">
        <f>((1+$F28)^G28-1)/($F28*(1+$F28)^G28)</f>
        <v>10.379658038180596</v>
      </c>
      <c r="K28" s="1951">
        <f>I28/J28</f>
        <v>0.41711168659942827</v>
      </c>
      <c r="L28" s="1952">
        <f>(X49+E28)*K28</f>
        <v>2136.4623719655792</v>
      </c>
      <c r="M28" s="1953">
        <f>L28+C28</f>
        <v>3054.8448009546391</v>
      </c>
      <c r="N28" s="1953">
        <f>M28/T17</f>
        <v>610.96896019092787</v>
      </c>
      <c r="O28" s="1962">
        <f t="shared" ref="O28" si="13">(E17+X17)/T17</f>
        <v>1208.0843077811473</v>
      </c>
      <c r="Q28" s="1954" t="s">
        <v>217</v>
      </c>
      <c r="R28" s="1990" t="s">
        <v>1891</v>
      </c>
      <c r="S28" s="1948">
        <v>187500</v>
      </c>
      <c r="T28" s="1955">
        <f>S28/12000</f>
        <v>15.625</v>
      </c>
      <c r="U28" s="2019">
        <v>11.4</v>
      </c>
      <c r="V28" s="1956" t="s">
        <v>281</v>
      </c>
      <c r="W28" s="1980">
        <f>('Equipment Results Matrix'!$T$309+'Equipment Results Matrix'!$R$302*$S28+'Equipment Results Matrix'!$R$303*U28+'Equipment Results Matrix'!$R$306+'Equipment Results Matrix'!$R$304)*1.2</f>
        <v>20172.672007716927</v>
      </c>
      <c r="X28" s="1959">
        <f>W28*Inflation!$D$3</f>
        <v>21750.045174224117</v>
      </c>
      <c r="Y28" s="1959">
        <f xml:space="preserve"> X28/T28</f>
        <v>1392.0028911503434</v>
      </c>
    </row>
    <row r="29" spans="1:25" ht="15" customHeight="1">
      <c r="A29" s="1948"/>
      <c r="B29" s="1948"/>
      <c r="C29" s="2011"/>
      <c r="D29" s="2011"/>
      <c r="E29" s="1963"/>
      <c r="F29" s="1964"/>
      <c r="G29" s="1965"/>
      <c r="H29" s="1966"/>
      <c r="I29" s="1952"/>
      <c r="J29" s="1951"/>
      <c r="K29" s="1951"/>
      <c r="L29" s="1952"/>
      <c r="M29" s="1953"/>
      <c r="N29" s="1953"/>
      <c r="O29" s="1962"/>
      <c r="Q29" s="1954"/>
      <c r="R29" s="1979"/>
      <c r="S29" s="1948"/>
      <c r="T29" s="1955"/>
      <c r="U29" s="2019"/>
      <c r="V29" s="1956"/>
      <c r="W29" s="1981"/>
      <c r="X29" s="1757"/>
      <c r="Y29" s="1959"/>
    </row>
    <row r="30" spans="1:25" ht="15" customHeight="1">
      <c r="A30" s="1954" t="s">
        <v>216</v>
      </c>
      <c r="B30" s="1948" t="s">
        <v>1891</v>
      </c>
      <c r="C30" s="2011">
        <f>X19-X51</f>
        <v>210.08744258896331</v>
      </c>
      <c r="D30" s="2011">
        <f>Y19-Y51</f>
        <v>25.210493110675543</v>
      </c>
      <c r="E30" s="1963">
        <f>$N$52</f>
        <v>621.4120398203537</v>
      </c>
      <c r="F30" s="1964">
        <v>0.05</v>
      </c>
      <c r="G30" s="1965">
        <v>15</v>
      </c>
      <c r="H30" s="1966">
        <f>G30/3</f>
        <v>5</v>
      </c>
      <c r="I30" s="1952">
        <f t="shared" ref="I30" si="14">((1+$F30)^H30-1)/($F30*(1+$F30)^H30)</f>
        <v>4.3294766706308208</v>
      </c>
      <c r="J30" s="1951">
        <f t="shared" ref="J30" si="15">((1+$F30)^G30-1)/($F30*(1+$F30)^G30)</f>
        <v>10.379658038180596</v>
      </c>
      <c r="K30" s="1951">
        <f>I30/J30</f>
        <v>0.41711168659942827</v>
      </c>
      <c r="L30" s="1952">
        <f>(X51+E30)*K30</f>
        <v>4782.5680310828839</v>
      </c>
      <c r="M30" s="1953">
        <f t="shared" ref="M30" si="16">L30+C30</f>
        <v>4992.6554736718472</v>
      </c>
      <c r="N30" s="1953">
        <f>M30/T19</f>
        <v>599.11865684062161</v>
      </c>
      <c r="O30" s="1962">
        <f t="shared" ref="O30" si="17">(E19+X19)/T19</f>
        <v>1401.1205483019528</v>
      </c>
      <c r="Q30" s="1954" t="s">
        <v>218</v>
      </c>
      <c r="R30" s="1990" t="s">
        <v>1891</v>
      </c>
      <c r="S30" s="1948">
        <f>(240000+760000)/2</f>
        <v>500000</v>
      </c>
      <c r="T30" s="1955">
        <f>S30/12000</f>
        <v>41.666666666666664</v>
      </c>
      <c r="U30" s="2019">
        <v>10.4</v>
      </c>
      <c r="V30" s="1956" t="s">
        <v>280</v>
      </c>
      <c r="W30" s="1980">
        <f>('Equipment Results Matrix'!$T$309+'Equipment Results Matrix'!$R$302*$S30+'Equipment Results Matrix'!$R$303*U30+'Equipment Results Matrix'!$R$306+'Equipment Results Matrix'!$R$304)*1.2</f>
        <v>51564.283780116915</v>
      </c>
      <c r="X30" s="1959">
        <f>W30*Inflation!$D$3</f>
        <v>55596.279023672345</v>
      </c>
      <c r="Y30" s="1959">
        <f xml:space="preserve"> X30/T30</f>
        <v>1334.3106965681363</v>
      </c>
    </row>
    <row r="31" spans="1:25" ht="15" customHeight="1">
      <c r="A31" s="1954"/>
      <c r="B31" s="1948"/>
      <c r="C31" s="2011"/>
      <c r="D31" s="2011"/>
      <c r="E31" s="1963"/>
      <c r="F31" s="1964"/>
      <c r="G31" s="1965"/>
      <c r="H31" s="1966"/>
      <c r="I31" s="1952"/>
      <c r="J31" s="1951"/>
      <c r="K31" s="1951"/>
      <c r="L31" s="1952"/>
      <c r="M31" s="1953"/>
      <c r="N31" s="1953"/>
      <c r="O31" s="1962"/>
      <c r="Q31" s="1954"/>
      <c r="R31" s="1979"/>
      <c r="S31" s="1948"/>
      <c r="T31" s="1955"/>
      <c r="U31" s="2019"/>
      <c r="V31" s="1956"/>
      <c r="W31" s="1981"/>
      <c r="X31" s="1757"/>
      <c r="Y31" s="1959"/>
    </row>
    <row r="32" spans="1:25">
      <c r="A32" s="1954" t="s">
        <v>217</v>
      </c>
      <c r="B32" s="1948" t="s">
        <v>1891</v>
      </c>
      <c r="C32" s="2011">
        <f>X21-X53</f>
        <v>210.08744258897423</v>
      </c>
      <c r="D32" s="2011">
        <f>Y21-Y53</f>
        <v>13.445596325694396</v>
      </c>
      <c r="E32" s="1963">
        <f>$N$52</f>
        <v>621.4120398203537</v>
      </c>
      <c r="F32" s="1964">
        <v>0.05</v>
      </c>
      <c r="G32" s="1965">
        <v>15</v>
      </c>
      <c r="H32" s="1966">
        <f>G32/3</f>
        <v>5</v>
      </c>
      <c r="I32" s="1952">
        <f t="shared" ref="I32" si="18">((1+$F32)^H32-1)/($F32*(1+$F32)^H32)</f>
        <v>4.3294766706308208</v>
      </c>
      <c r="J32" s="1951">
        <f t="shared" ref="J32" si="19">((1+$F32)^G32-1)/($F32*(1+$F32)^G32)</f>
        <v>10.379658038180596</v>
      </c>
      <c r="K32" s="1951">
        <f>I32/J32</f>
        <v>0.41711168659942827</v>
      </c>
      <c r="L32" s="1952">
        <f>(X53+E32)*K32</f>
        <v>8630.35683014387</v>
      </c>
      <c r="M32" s="1953">
        <f t="shared" ref="M32" si="20">L32+C32</f>
        <v>8840.4442727328442</v>
      </c>
      <c r="N32" s="1953">
        <f>M32/T21</f>
        <v>565.78843345490202</v>
      </c>
      <c r="O32" s="1962">
        <f t="shared" ref="O32" si="21">(E21+X21)/T21</f>
        <v>1337.654087418988</v>
      </c>
    </row>
    <row r="33" spans="1:25" ht="30.75" customHeight="1">
      <c r="A33" s="1954"/>
      <c r="B33" s="1948"/>
      <c r="C33" s="2011"/>
      <c r="D33" s="2011"/>
      <c r="E33" s="1963"/>
      <c r="F33" s="1964"/>
      <c r="G33" s="1965"/>
      <c r="H33" s="1966"/>
      <c r="I33" s="1952"/>
      <c r="J33" s="1951"/>
      <c r="K33" s="1951"/>
      <c r="L33" s="1952"/>
      <c r="M33" s="1953"/>
      <c r="N33" s="1953"/>
      <c r="O33" s="1962"/>
      <c r="Q33" s="2004" t="s">
        <v>1883</v>
      </c>
      <c r="R33" s="1998"/>
      <c r="S33" s="2005"/>
      <c r="T33" s="2005"/>
      <c r="U33" s="2005"/>
      <c r="V33" s="2005"/>
      <c r="W33" s="2005"/>
      <c r="X33" s="2005"/>
      <c r="Y33" s="2006"/>
    </row>
    <row r="34" spans="1:25" ht="26.4">
      <c r="A34" s="1954" t="s">
        <v>218</v>
      </c>
      <c r="B34" s="1948" t="s">
        <v>1891</v>
      </c>
      <c r="C34" s="2011">
        <f>X23-X55</f>
        <v>1260.5246555338235</v>
      </c>
      <c r="D34" s="2011">
        <f>Y23-Y55</f>
        <v>30.252591732811652</v>
      </c>
      <c r="E34" s="1963">
        <f>$N$52</f>
        <v>621.4120398203537</v>
      </c>
      <c r="F34" s="1964">
        <v>0.05</v>
      </c>
      <c r="G34" s="1965">
        <v>15</v>
      </c>
      <c r="H34" s="1966">
        <f>G34/3</f>
        <v>5</v>
      </c>
      <c r="I34" s="1952">
        <f t="shared" ref="I34" si="22">((1+$F34)^H34-1)/($F34*(1+$F34)^H34)</f>
        <v>4.3294766706308208</v>
      </c>
      <c r="J34" s="1951">
        <f t="shared" ref="J34" si="23">((1+$F34)^G34-1)/($F34*(1+$F34)^G34)</f>
        <v>10.379658038180596</v>
      </c>
      <c r="K34" s="1951">
        <f>I34/J34</f>
        <v>0.41711168659942827</v>
      </c>
      <c r="L34" s="1952">
        <f>(X55+E34)*K34</f>
        <v>22660.386588614238</v>
      </c>
      <c r="M34" s="1953">
        <f t="shared" ref="M34" si="24">L34+C34</f>
        <v>23920.911244148061</v>
      </c>
      <c r="N34" s="1953">
        <f>M34/T23</f>
        <v>574.10186985955352</v>
      </c>
      <c r="O34" s="1962">
        <f t="shared" ref="O34" si="25">(E23+X23)/T23</f>
        <v>1334.0982896574192</v>
      </c>
      <c r="Q34" s="138" t="s">
        <v>211</v>
      </c>
      <c r="R34" s="138"/>
      <c r="S34" s="138" t="s">
        <v>525</v>
      </c>
      <c r="T34" s="138" t="s">
        <v>206</v>
      </c>
      <c r="U34" s="138" t="s">
        <v>730</v>
      </c>
      <c r="V34" s="138" t="s">
        <v>436</v>
      </c>
      <c r="W34" s="139" t="s">
        <v>142</v>
      </c>
      <c r="X34" s="138" t="s">
        <v>426</v>
      </c>
      <c r="Y34" s="138" t="s">
        <v>437</v>
      </c>
    </row>
    <row r="35" spans="1:25">
      <c r="A35" s="1954"/>
      <c r="B35" s="1948"/>
      <c r="C35" s="2011"/>
      <c r="D35" s="2011"/>
      <c r="E35" s="1963"/>
      <c r="F35" s="1964"/>
      <c r="G35" s="1965"/>
      <c r="H35" s="1966"/>
      <c r="I35" s="1952"/>
      <c r="J35" s="1951"/>
      <c r="K35" s="1951"/>
      <c r="L35" s="1952"/>
      <c r="M35" s="1953"/>
      <c r="N35" s="1953"/>
      <c r="O35" s="1962"/>
      <c r="Q35" s="1968" t="s">
        <v>438</v>
      </c>
      <c r="R35" s="1968"/>
      <c r="S35" s="1968"/>
      <c r="T35" s="1968"/>
      <c r="U35" s="1968"/>
      <c r="V35" s="1968"/>
      <c r="W35" s="1968"/>
      <c r="X35" s="1968"/>
      <c r="Y35" s="1968"/>
    </row>
    <row r="36" spans="1:25">
      <c r="A36" s="1950" t="s">
        <v>1886</v>
      </c>
      <c r="B36" s="1950"/>
      <c r="C36" s="1950"/>
      <c r="D36" s="1950"/>
      <c r="E36" s="1950"/>
      <c r="F36" s="1950"/>
      <c r="G36" s="1950"/>
      <c r="H36" s="1950"/>
      <c r="I36" s="1950"/>
      <c r="J36" s="1950"/>
      <c r="K36" s="1950"/>
      <c r="L36" s="1950"/>
      <c r="M36" s="1950"/>
      <c r="N36" s="1950"/>
      <c r="O36" s="1950"/>
      <c r="Q36" s="1948" t="s">
        <v>199</v>
      </c>
      <c r="R36" s="1990" t="s">
        <v>1887</v>
      </c>
      <c r="S36" s="1948">
        <v>60000</v>
      </c>
      <c r="T36" s="1955">
        <f>S36/12000</f>
        <v>5</v>
      </c>
      <c r="U36" s="2003" t="s">
        <v>449</v>
      </c>
      <c r="V36" s="1957">
        <v>14</v>
      </c>
      <c r="W36" s="1958">
        <f>('Equipment Results Matrix'!$T$143+'Equipment Results Matrix'!$R$136*S36+'Equipment Results Matrix'!$R$137*V36)*1.2</f>
        <v>2882.3667312000002</v>
      </c>
      <c r="X36" s="1959">
        <f>W36*Inflation!$D$3</f>
        <v>3107.7492653575309</v>
      </c>
      <c r="Y36" s="1959">
        <f xml:space="preserve"> X36/T36</f>
        <v>621.54985307150616</v>
      </c>
    </row>
    <row r="37" spans="1:25" ht="15" customHeight="1">
      <c r="A37" s="1948" t="s">
        <v>216</v>
      </c>
      <c r="B37" s="1948" t="s">
        <v>220</v>
      </c>
      <c r="C37" s="2011">
        <f>X26-X58</f>
        <v>0</v>
      </c>
      <c r="D37" s="2011">
        <f>Y26-Y58</f>
        <v>0</v>
      </c>
      <c r="E37" s="1963">
        <f>$N$52</f>
        <v>621.4120398203537</v>
      </c>
      <c r="F37" s="1964">
        <v>0.05</v>
      </c>
      <c r="G37" s="1965">
        <v>15</v>
      </c>
      <c r="H37" s="1966">
        <f>G37/3</f>
        <v>5</v>
      </c>
      <c r="I37" s="1952">
        <f t="shared" ref="I37" si="26">((1+$F37)^H37-1)/($F37*(1+$F37)^H37)</f>
        <v>4.3294766706308208</v>
      </c>
      <c r="J37" s="1951">
        <f t="shared" ref="J37" si="27">((1+$F37)^G37-1)/($F37*(1+$F37)^G37)</f>
        <v>10.379658038180596</v>
      </c>
      <c r="K37" s="1951">
        <f>I37/J37</f>
        <v>0.41711168659942827</v>
      </c>
      <c r="L37" s="1952">
        <f>(X19+E37)*K37</f>
        <v>4870.1979585945273</v>
      </c>
      <c r="M37" s="1953">
        <f>L37+C37</f>
        <v>4870.1979585945273</v>
      </c>
      <c r="N37" s="1953">
        <f>M37/T26</f>
        <v>584.42375503134326</v>
      </c>
      <c r="O37" s="1958">
        <f>(E37+X26)/T26</f>
        <v>1628.0149862980393</v>
      </c>
      <c r="Q37" s="1948"/>
      <c r="R37" s="1979"/>
      <c r="S37" s="1948"/>
      <c r="T37" s="1955"/>
      <c r="U37" s="2003"/>
      <c r="V37" s="1957"/>
      <c r="W37" s="1958"/>
      <c r="X37" s="1757"/>
      <c r="Y37" s="1959"/>
    </row>
    <row r="38" spans="1:25" ht="15" customHeight="1">
      <c r="A38" s="1948"/>
      <c r="B38" s="1948"/>
      <c r="C38" s="2011"/>
      <c r="D38" s="2011"/>
      <c r="E38" s="1963"/>
      <c r="F38" s="1964"/>
      <c r="G38" s="1965"/>
      <c r="H38" s="1966"/>
      <c r="I38" s="1952"/>
      <c r="J38" s="1951"/>
      <c r="K38" s="1951"/>
      <c r="L38" s="1952"/>
      <c r="M38" s="1953"/>
      <c r="N38" s="1953"/>
      <c r="O38" s="1958"/>
      <c r="Q38" s="1948" t="s">
        <v>199</v>
      </c>
      <c r="R38" s="1990" t="s">
        <v>1891</v>
      </c>
      <c r="S38" s="1948">
        <v>60000</v>
      </c>
      <c r="T38" s="1955">
        <f>S38/12000</f>
        <v>5</v>
      </c>
      <c r="U38" s="2003" t="s">
        <v>449</v>
      </c>
      <c r="V38" s="1957">
        <v>14</v>
      </c>
      <c r="W38" s="1958">
        <f>('Equipment Results Matrix'!$T$298+'Equipment Results Matrix'!$R$291*$S38+'Equipment Results Matrix'!$R$292*V38+'Equipment Results Matrix'!$R$293)*1.2</f>
        <v>4469.8903591367989</v>
      </c>
      <c r="X38" s="1959">
        <f>W38*Inflation!$D$3</f>
        <v>4819.4070273815596</v>
      </c>
      <c r="Y38" s="1959">
        <f xml:space="preserve"> X38/T38</f>
        <v>963.8814054763119</v>
      </c>
    </row>
    <row r="39" spans="1:25" ht="15" customHeight="1">
      <c r="A39" s="1948" t="s">
        <v>217</v>
      </c>
      <c r="B39" s="1948"/>
      <c r="C39" s="2011">
        <f>X28-X60</f>
        <v>0</v>
      </c>
      <c r="D39" s="2011">
        <f>Y28-Y60</f>
        <v>0</v>
      </c>
      <c r="E39" s="1963">
        <f>$N$52</f>
        <v>621.4120398203537</v>
      </c>
      <c r="F39" s="1964">
        <v>0.05</v>
      </c>
      <c r="G39" s="1965">
        <v>15</v>
      </c>
      <c r="H39" s="1966">
        <f>G39/3</f>
        <v>5</v>
      </c>
      <c r="I39" s="1952">
        <f t="shared" ref="I39" si="28">((1+$F39)^H39-1)/($F39*(1+$F39)^H39)</f>
        <v>4.3294766706308208</v>
      </c>
      <c r="J39" s="1951">
        <f t="shared" ref="J39" si="29">((1+$F39)^G39-1)/($F39*(1+$F39)^G39)</f>
        <v>10.379658038180596</v>
      </c>
      <c r="K39" s="1951">
        <f>I39/J39</f>
        <v>0.41711168659942827</v>
      </c>
      <c r="L39" s="1952">
        <f t="shared" ref="L39" si="30">(X21+E39)*K39</f>
        <v>8717.9867576555171</v>
      </c>
      <c r="M39" s="1953">
        <f t="shared" ref="M39" si="31">L39+C39</f>
        <v>8717.9867576555171</v>
      </c>
      <c r="N39" s="1953">
        <f>M39/T28</f>
        <v>557.95115248995307</v>
      </c>
      <c r="O39" s="1958">
        <f>(E39+X28)/T28</f>
        <v>1431.773261698846</v>
      </c>
      <c r="Q39" s="1948"/>
      <c r="R39" s="1979"/>
      <c r="S39" s="1948"/>
      <c r="T39" s="1955"/>
      <c r="U39" s="2003"/>
      <c r="V39" s="1957"/>
      <c r="W39" s="1958"/>
      <c r="X39" s="1757"/>
      <c r="Y39" s="1959"/>
    </row>
    <row r="40" spans="1:25" ht="15" customHeight="1">
      <c r="A40" s="1948"/>
      <c r="B40" s="1948"/>
      <c r="C40" s="2011"/>
      <c r="D40" s="2011"/>
      <c r="E40" s="1963"/>
      <c r="F40" s="1964"/>
      <c r="G40" s="1965"/>
      <c r="H40" s="1966"/>
      <c r="I40" s="1952"/>
      <c r="J40" s="1951"/>
      <c r="K40" s="1951"/>
      <c r="L40" s="1952"/>
      <c r="M40" s="1953"/>
      <c r="N40" s="1953"/>
      <c r="O40" s="1958"/>
      <c r="Q40" s="1954" t="s">
        <v>216</v>
      </c>
      <c r="R40" s="1990" t="s">
        <v>1891</v>
      </c>
      <c r="S40" s="1948">
        <f>(65000+135000)/2</f>
        <v>100000</v>
      </c>
      <c r="T40" s="1955">
        <f>S40/12000</f>
        <v>8.3333333333333339</v>
      </c>
      <c r="U40" s="2003" t="s">
        <v>450</v>
      </c>
      <c r="V40" s="1957">
        <v>11</v>
      </c>
      <c r="W40" s="1958">
        <f>('Equipment Results Matrix'!$T$309+'Equipment Results Matrix'!$R$302*$S40+'Equipment Results Matrix'!$R$303*V40+'Equipment Results Matrix'!$R$306+'Equipment Results Matrix'!$R$304)*1.2</f>
        <v>10058.031716676925</v>
      </c>
      <c r="X40" s="1959">
        <f>W40*Inflation!$D$3</f>
        <v>10844.505086773623</v>
      </c>
      <c r="Y40" s="1959">
        <f xml:space="preserve"> X40/T40</f>
        <v>1301.3406104128346</v>
      </c>
    </row>
    <row r="41" spans="1:25" ht="15" customHeight="1">
      <c r="A41" s="1948" t="s">
        <v>218</v>
      </c>
      <c r="B41" s="1948"/>
      <c r="C41" s="2011">
        <f>X30-X62</f>
        <v>0</v>
      </c>
      <c r="D41" s="2011">
        <f>Y30-Y62</f>
        <v>0</v>
      </c>
      <c r="E41" s="1963">
        <f>$N$52</f>
        <v>621.4120398203537</v>
      </c>
      <c r="F41" s="1964">
        <v>0.05</v>
      </c>
      <c r="G41" s="1965">
        <v>15</v>
      </c>
      <c r="H41" s="1966">
        <f>G41/3</f>
        <v>5</v>
      </c>
      <c r="I41" s="1952">
        <f t="shared" ref="I41" si="32">((1+$F41)^H41-1)/($F41*(1+$F41)^H41)</f>
        <v>4.3294766706308208</v>
      </c>
      <c r="J41" s="1951">
        <f t="shared" ref="J41" si="33">((1+$F41)^G41-1)/($F41*(1+$F41)^G41)</f>
        <v>10.379658038180596</v>
      </c>
      <c r="K41" s="1951">
        <f>I41/J41</f>
        <v>0.41711168659942827</v>
      </c>
      <c r="L41" s="1952">
        <f t="shared" ref="L41" si="34">(X23+E41)*K41</f>
        <v>23186.166153684113</v>
      </c>
      <c r="M41" s="1953">
        <f t="shared" ref="M41" si="35">L41+C41</f>
        <v>23186.166153684113</v>
      </c>
      <c r="N41" s="1953">
        <f>M41/T30</f>
        <v>556.4679876884187</v>
      </c>
      <c r="O41" s="1958">
        <f>(E30+X30)/T30</f>
        <v>1349.2245855238248</v>
      </c>
      <c r="Q41" s="1954"/>
      <c r="R41" s="1979"/>
      <c r="S41" s="1948"/>
      <c r="T41" s="1955"/>
      <c r="U41" s="2003"/>
      <c r="V41" s="1957"/>
      <c r="W41" s="1958"/>
      <c r="X41" s="1757"/>
      <c r="Y41" s="1959"/>
    </row>
    <row r="42" spans="1:25" ht="15" customHeight="1">
      <c r="A42" s="1948"/>
      <c r="B42" s="1948"/>
      <c r="C42" s="2011"/>
      <c r="D42" s="2011"/>
      <c r="E42" s="1963"/>
      <c r="F42" s="1964"/>
      <c r="G42" s="1965"/>
      <c r="H42" s="1966"/>
      <c r="I42" s="1952"/>
      <c r="J42" s="1951"/>
      <c r="K42" s="1951"/>
      <c r="L42" s="1952"/>
      <c r="M42" s="1953"/>
      <c r="N42" s="1953"/>
      <c r="O42" s="1958"/>
      <c r="Q42" s="1954" t="s">
        <v>217</v>
      </c>
      <c r="R42" s="1990" t="s">
        <v>1891</v>
      </c>
      <c r="S42" s="1948">
        <v>187500</v>
      </c>
      <c r="T42" s="1955">
        <f>S42/12000</f>
        <v>15.625</v>
      </c>
      <c r="U42" s="2003" t="s">
        <v>451</v>
      </c>
      <c r="V42" s="1957">
        <v>10.6</v>
      </c>
      <c r="W42" s="1958">
        <f>('Equipment Results Matrix'!$T$309+'Equipment Results Matrix'!$R$302*$S42+'Equipment Results Matrix'!$R$303*V42+'Equipment Results Matrix'!$R$306+'Equipment Results Matrix'!$R$304)*1.2</f>
        <v>18613.861425636918</v>
      </c>
      <c r="X42" s="1959">
        <f>W42*Inflation!$D$3</f>
        <v>20069.345633512359</v>
      </c>
      <c r="Y42" s="1959">
        <f xml:space="preserve"> X42/T42</f>
        <v>1284.438120544791</v>
      </c>
    </row>
    <row r="43" spans="1:25">
      <c r="Q43" s="1954"/>
      <c r="R43" s="1979"/>
      <c r="S43" s="1948"/>
      <c r="T43" s="1955"/>
      <c r="U43" s="2003"/>
      <c r="V43" s="1957"/>
      <c r="W43" s="1958"/>
      <c r="X43" s="1757"/>
      <c r="Y43" s="1959"/>
    </row>
    <row r="44" spans="1:25">
      <c r="Q44" s="1954" t="s">
        <v>218</v>
      </c>
      <c r="R44" s="1990" t="s">
        <v>1891</v>
      </c>
      <c r="S44" s="1948">
        <f>(240000+760000)/2</f>
        <v>500000</v>
      </c>
      <c r="T44" s="1955">
        <f>S44/12000</f>
        <v>41.666666666666664</v>
      </c>
      <c r="U44" s="2003" t="s">
        <v>452</v>
      </c>
      <c r="V44" s="1957">
        <v>9.5</v>
      </c>
      <c r="W44" s="1958">
        <f>('Equipment Results Matrix'!$T$309+'Equipment Results Matrix'!$R$302*$S44+'Equipment Results Matrix'!$R$303*V44+'Equipment Results Matrix'!$R$306+'Equipment Results Matrix'!$R$304)*1.2</f>
        <v>49810.621875276913</v>
      </c>
      <c r="X44" s="1959">
        <f>W44*Inflation!$D$3</f>
        <v>53705.492040371624</v>
      </c>
      <c r="Y44" s="1959">
        <f xml:space="preserve"> X44/T44</f>
        <v>1288.9318089689191</v>
      </c>
    </row>
    <row r="45" spans="1:25">
      <c r="Q45" s="1954"/>
      <c r="R45" s="1979"/>
      <c r="S45" s="1948"/>
      <c r="T45" s="1955"/>
      <c r="U45" s="2003"/>
      <c r="V45" s="1957"/>
      <c r="W45" s="1958"/>
      <c r="X45" s="1757"/>
      <c r="Y45" s="1959"/>
    </row>
    <row r="46" spans="1:25">
      <c r="Q46" s="1968" t="s">
        <v>444</v>
      </c>
      <c r="R46" s="1968"/>
      <c r="S46" s="1968"/>
      <c r="T46" s="1968"/>
      <c r="U46" s="1968"/>
      <c r="V46" s="1968"/>
      <c r="W46" s="1968"/>
      <c r="X46" s="1968"/>
      <c r="Y46" s="1968"/>
    </row>
    <row r="47" spans="1:25">
      <c r="Q47" s="1948" t="s">
        <v>199</v>
      </c>
      <c r="R47" s="1990" t="s">
        <v>1887</v>
      </c>
      <c r="S47" s="1948">
        <v>60000</v>
      </c>
      <c r="T47" s="1955">
        <f>S47/12000</f>
        <v>5</v>
      </c>
      <c r="U47" s="1948" t="s">
        <v>453</v>
      </c>
      <c r="V47" s="2008">
        <v>13</v>
      </c>
      <c r="W47" s="1958">
        <f>('Equipment Results Matrix'!$T$143+'Equipment Results Matrix'!$R$136*S47+'Equipment Results Matrix'!$R$137*V47)*1.2</f>
        <v>2334.0765768000001</v>
      </c>
      <c r="X47" s="1959">
        <f>W47*Inflation!$D$3</f>
        <v>2516.5863484063034</v>
      </c>
      <c r="Y47" s="1959">
        <f xml:space="preserve"> X47/T47</f>
        <v>503.31726968126065</v>
      </c>
    </row>
    <row r="48" spans="1:25">
      <c r="K48" s="1782" t="s">
        <v>1876</v>
      </c>
      <c r="L48" s="1783"/>
      <c r="M48" s="1783"/>
      <c r="N48" s="1784"/>
      <c r="Q48" s="1948"/>
      <c r="R48" s="1979"/>
      <c r="S48" s="1948"/>
      <c r="T48" s="1955"/>
      <c r="U48" s="1948"/>
      <c r="V48" s="2008"/>
      <c r="W48" s="1958"/>
      <c r="X48" s="1757"/>
      <c r="Y48" s="1959"/>
    </row>
    <row r="49" spans="1:25">
      <c r="A49" s="4" t="s">
        <v>634</v>
      </c>
      <c r="K49" s="97" t="s">
        <v>263</v>
      </c>
      <c r="L49" s="97" t="s">
        <v>267</v>
      </c>
      <c r="M49" s="97" t="s">
        <v>206</v>
      </c>
      <c r="N49" s="97" t="s">
        <v>241</v>
      </c>
      <c r="Q49" s="1948" t="s">
        <v>199</v>
      </c>
      <c r="R49" s="1990" t="s">
        <v>1891</v>
      </c>
      <c r="S49" s="1948">
        <v>60000</v>
      </c>
      <c r="T49" s="1955">
        <f>S49/12000</f>
        <v>5</v>
      </c>
      <c r="U49" s="1948" t="s">
        <v>453</v>
      </c>
      <c r="V49" s="2008">
        <v>13</v>
      </c>
      <c r="W49" s="1958">
        <f>('Equipment Results Matrix'!$T$298+'Equipment Results Matrix'!$R$291*$S49+'Equipment Results Matrix'!$R$292*V49+'Equipment Results Matrix'!$R$293)*1.2</f>
        <v>4044.0009559367991</v>
      </c>
      <c r="X49" s="1959">
        <f>W49*Inflation!$D$3</f>
        <v>4360.2158128870296</v>
      </c>
      <c r="Y49" s="1959">
        <f xml:space="preserve"> X49/T49</f>
        <v>872.04316257740595</v>
      </c>
    </row>
    <row r="50" spans="1:25">
      <c r="K50" s="68" t="s">
        <v>272</v>
      </c>
      <c r="L50" s="1624" t="s">
        <v>22</v>
      </c>
      <c r="M50" s="66" t="s">
        <v>22</v>
      </c>
      <c r="N50" s="3">
        <f>'Labor Results Matrix'!$L$17*'Labor Adjustment'!$B$5*Inflation!$D$3</f>
        <v>3919.0703323322609</v>
      </c>
      <c r="Q50" s="1948"/>
      <c r="R50" s="1979"/>
      <c r="S50" s="1948"/>
      <c r="T50" s="1955"/>
      <c r="U50" s="1948"/>
      <c r="V50" s="2008"/>
      <c r="W50" s="1958"/>
      <c r="X50" s="1757"/>
      <c r="Y50" s="1959"/>
    </row>
    <row r="51" spans="1:25" ht="28.8">
      <c r="K51" s="1624" t="s">
        <v>270</v>
      </c>
      <c r="L51" s="1624" t="s">
        <v>22</v>
      </c>
      <c r="M51" s="1624" t="s">
        <v>22</v>
      </c>
      <c r="N51" s="3">
        <f>'Labor Results Matrix'!$L$198*'Labor Adjustment'!$B$5*Inflation!$D$3</f>
        <v>761.82329702964682</v>
      </c>
      <c r="Q51" s="1954" t="s">
        <v>216</v>
      </c>
      <c r="R51" s="1990" t="s">
        <v>1891</v>
      </c>
      <c r="S51" s="1948">
        <f>(65000+135000)/2</f>
        <v>100000</v>
      </c>
      <c r="T51" s="1955">
        <f>S51/12000</f>
        <v>8.3333333333333339</v>
      </c>
      <c r="U51" s="1948" t="s">
        <v>446</v>
      </c>
      <c r="V51" s="2008">
        <v>11</v>
      </c>
      <c r="W51" s="1958">
        <f>('Equipment Results Matrix'!$T$309+'Equipment Results Matrix'!$R$302*$S51+'Equipment Results Matrix'!$R$303*V51+'Equipment Results Matrix'!$R$306+'Equipment Results Matrix'!$R$304)*1.2</f>
        <v>10058.031716676925</v>
      </c>
      <c r="X51" s="1959">
        <f>W51*Inflation!$D$3</f>
        <v>10844.505086773623</v>
      </c>
      <c r="Y51" s="1959">
        <f xml:space="preserve"> X51/T51</f>
        <v>1301.3406104128346</v>
      </c>
    </row>
    <row r="52" spans="1:25" ht="28.8">
      <c r="K52" s="1624" t="s">
        <v>271</v>
      </c>
      <c r="L52" s="1624" t="s">
        <v>268</v>
      </c>
      <c r="M52" s="97" t="s">
        <v>22</v>
      </c>
      <c r="N52" s="3">
        <f>'Labor Results Matrix'!$L$211*'Labor Adjustment'!$B$5*Inflation!$D$3</f>
        <v>621.4120398203537</v>
      </c>
      <c r="Q52" s="1954"/>
      <c r="R52" s="1979"/>
      <c r="S52" s="1948"/>
      <c r="T52" s="1955"/>
      <c r="U52" s="1948"/>
      <c r="V52" s="2008"/>
      <c r="W52" s="1958"/>
      <c r="X52" s="1757"/>
      <c r="Y52" s="1959"/>
    </row>
    <row r="53" spans="1:25" ht="28.8">
      <c r="K53" s="1624" t="s">
        <v>271</v>
      </c>
      <c r="L53" s="1624" t="s">
        <v>269</v>
      </c>
      <c r="M53" s="97" t="s">
        <v>22</v>
      </c>
      <c r="N53" s="3">
        <f>'Labor Results Matrix'!$L$212*'Labor Adjustment'!$B$5*Inflation!$D$3</f>
        <v>607.83402088381399</v>
      </c>
      <c r="Q53" s="1954" t="s">
        <v>217</v>
      </c>
      <c r="R53" s="1990" t="s">
        <v>1891</v>
      </c>
      <c r="S53" s="1948">
        <v>187500</v>
      </c>
      <c r="T53" s="1955">
        <f>S53/12000</f>
        <v>15.625</v>
      </c>
      <c r="U53" s="1948" t="s">
        <v>454</v>
      </c>
      <c r="V53" s="2008">
        <v>10.6</v>
      </c>
      <c r="W53" s="1958">
        <f>('Equipment Results Matrix'!$T$309+'Equipment Results Matrix'!$R$302*$S53+'Equipment Results Matrix'!$R$303*V53+'Equipment Results Matrix'!$R$306+'Equipment Results Matrix'!$R$304)*1.2</f>
        <v>18613.861425636918</v>
      </c>
      <c r="X53" s="1959">
        <f>W53*Inflation!$D$3</f>
        <v>20069.345633512359</v>
      </c>
      <c r="Y53" s="1959">
        <f xml:space="preserve"> X53/T53</f>
        <v>1284.438120544791</v>
      </c>
    </row>
    <row r="54" spans="1:25">
      <c r="Q54" s="1954"/>
      <c r="R54" s="1979"/>
      <c r="S54" s="1948"/>
      <c r="T54" s="1955"/>
      <c r="U54" s="2014"/>
      <c r="V54" s="2018"/>
      <c r="W54" s="2012"/>
      <c r="X54" s="2013"/>
      <c r="Y54" s="2010"/>
    </row>
    <row r="55" spans="1:25">
      <c r="Q55" s="1954" t="s">
        <v>218</v>
      </c>
      <c r="R55" s="1990" t="s">
        <v>1891</v>
      </c>
      <c r="S55" s="1948">
        <f>(240000+760000)/2</f>
        <v>500000</v>
      </c>
      <c r="T55" s="2015">
        <f>S55/12000</f>
        <v>41.666666666666664</v>
      </c>
      <c r="U55" s="1948" t="s">
        <v>455</v>
      </c>
      <c r="V55" s="2016">
        <v>9.5</v>
      </c>
      <c r="W55" s="1958">
        <f>('Equipment Results Matrix'!$T$309+'Equipment Results Matrix'!$R$302*$S55+'Equipment Results Matrix'!$R$303*V55+'Equipment Results Matrix'!$R$306+'Equipment Results Matrix'!$R$304)*1.2</f>
        <v>49810.621875276913</v>
      </c>
      <c r="X55" s="1959">
        <f>W55*Inflation!$D$3</f>
        <v>53705.492040371624</v>
      </c>
      <c r="Y55" s="1959">
        <f xml:space="preserve"> X55/T55</f>
        <v>1288.9318089689191</v>
      </c>
    </row>
    <row r="56" spans="1:25">
      <c r="Q56" s="1954"/>
      <c r="R56" s="1979"/>
      <c r="S56" s="1948"/>
      <c r="T56" s="1955"/>
      <c r="U56" s="1979"/>
      <c r="V56" s="1983"/>
      <c r="W56" s="1981"/>
      <c r="X56" s="2017"/>
      <c r="Y56" s="1961"/>
    </row>
    <row r="57" spans="1:25">
      <c r="Q57" s="1968" t="s">
        <v>1895</v>
      </c>
      <c r="R57" s="1968"/>
      <c r="S57" s="1968"/>
      <c r="T57" s="1968"/>
      <c r="U57" s="1968"/>
      <c r="V57" s="1968"/>
      <c r="W57" s="1968"/>
      <c r="X57" s="1968"/>
      <c r="Y57" s="1968"/>
    </row>
    <row r="58" spans="1:25">
      <c r="Q58" s="1954" t="s">
        <v>216</v>
      </c>
      <c r="R58" s="1990" t="s">
        <v>1891</v>
      </c>
      <c r="S58" s="1948">
        <f>(65000+135000)/2</f>
        <v>100000</v>
      </c>
      <c r="T58" s="1955">
        <f>S58/12000</f>
        <v>8.3333333333333339</v>
      </c>
      <c r="U58" s="1956" t="s">
        <v>227</v>
      </c>
      <c r="V58" s="2019">
        <v>12</v>
      </c>
      <c r="W58" s="1958">
        <f>('Equipment Results Matrix'!$T$309+'Equipment Results Matrix'!$R$302*$S58+'Equipment Results Matrix'!$R$303*V58+'Equipment Results Matrix'!$R$306+'Equipment Results Matrix'!$R$304)*1.2</f>
        <v>12006.544944276924</v>
      </c>
      <c r="X58" s="1959">
        <f>W58*Inflation!$D$3</f>
        <v>12945.379512663307</v>
      </c>
      <c r="Y58" s="1959">
        <f xml:space="preserve"> X58/T58</f>
        <v>1553.4455415195966</v>
      </c>
    </row>
    <row r="59" spans="1:25">
      <c r="Q59" s="1954"/>
      <c r="R59" s="1979"/>
      <c r="S59" s="1948"/>
      <c r="T59" s="1955"/>
      <c r="U59" s="1956"/>
      <c r="V59" s="2019"/>
      <c r="W59" s="1958"/>
      <c r="X59" s="1757"/>
      <c r="Y59" s="1959"/>
    </row>
    <row r="60" spans="1:25">
      <c r="Q60" s="1954" t="s">
        <v>217</v>
      </c>
      <c r="R60" s="1990" t="s">
        <v>1891</v>
      </c>
      <c r="S60" s="1948">
        <v>187500</v>
      </c>
      <c r="T60" s="1955">
        <f>S60/12000</f>
        <v>15.625</v>
      </c>
      <c r="U60" s="1956" t="s">
        <v>281</v>
      </c>
      <c r="V60" s="2019">
        <v>11.4</v>
      </c>
      <c r="W60" s="1958">
        <f>('Equipment Results Matrix'!$T$309+'Equipment Results Matrix'!$R$302*$S60+'Equipment Results Matrix'!$R$303*V60+'Equipment Results Matrix'!$R$306+'Equipment Results Matrix'!$R$304)*1.2</f>
        <v>20172.672007716927</v>
      </c>
      <c r="X60" s="1959">
        <f>W60*Inflation!$D$3</f>
        <v>21750.045174224117</v>
      </c>
      <c r="Y60" s="1959">
        <f xml:space="preserve"> X60/T60</f>
        <v>1392.0028911503434</v>
      </c>
    </row>
    <row r="61" spans="1:25">
      <c r="Q61" s="1954"/>
      <c r="R61" s="1979"/>
      <c r="S61" s="1948"/>
      <c r="T61" s="1955"/>
      <c r="U61" s="1956"/>
      <c r="V61" s="2019"/>
      <c r="W61" s="2012"/>
      <c r="X61" s="2013"/>
      <c r="Y61" s="2010"/>
    </row>
    <row r="62" spans="1:25">
      <c r="Q62" s="1954" t="s">
        <v>218</v>
      </c>
      <c r="R62" s="1990" t="s">
        <v>1891</v>
      </c>
      <c r="S62" s="1948">
        <f>(240000+760000)/2</f>
        <v>500000</v>
      </c>
      <c r="T62" s="2015">
        <f>S62/12000</f>
        <v>41.666666666666664</v>
      </c>
      <c r="U62" s="1956" t="s">
        <v>280</v>
      </c>
      <c r="V62" s="2019">
        <v>10.4</v>
      </c>
      <c r="W62" s="1958">
        <f>('Equipment Results Matrix'!$T$309+'Equipment Results Matrix'!$R$302*$S62+'Equipment Results Matrix'!$R$303*V62+'Equipment Results Matrix'!$R$306+'Equipment Results Matrix'!$R$304)*1.2</f>
        <v>51564.283780116915</v>
      </c>
      <c r="X62" s="1959">
        <f>W62*Inflation!$D$3</f>
        <v>55596.279023672345</v>
      </c>
      <c r="Y62" s="1959">
        <f xml:space="preserve"> X62/T62</f>
        <v>1334.3106965681363</v>
      </c>
    </row>
    <row r="63" spans="1:25">
      <c r="Q63" s="1954"/>
      <c r="R63" s="1979"/>
      <c r="S63" s="1948"/>
      <c r="T63" s="1955"/>
      <c r="U63" s="1956"/>
      <c r="V63" s="2019"/>
      <c r="W63" s="1981"/>
      <c r="X63" s="2017"/>
      <c r="Y63" s="1961"/>
    </row>
  </sheetData>
  <mergeCells count="400">
    <mergeCell ref="A12:O12"/>
    <mergeCell ref="B2:N2"/>
    <mergeCell ref="D3:H3"/>
    <mergeCell ref="I3:I4"/>
    <mergeCell ref="J3:L3"/>
    <mergeCell ref="B3:B4"/>
    <mergeCell ref="C3:C4"/>
    <mergeCell ref="L41:L42"/>
    <mergeCell ref="M41:M42"/>
    <mergeCell ref="N41:N42"/>
    <mergeCell ref="O15:O16"/>
    <mergeCell ref="O17:O18"/>
    <mergeCell ref="O19:O20"/>
    <mergeCell ref="O21:O22"/>
    <mergeCell ref="O23:O24"/>
    <mergeCell ref="O37:O38"/>
    <mergeCell ref="O39:O40"/>
    <mergeCell ref="O41:O42"/>
    <mergeCell ref="O32:O33"/>
    <mergeCell ref="O34:O35"/>
    <mergeCell ref="A25:O25"/>
    <mergeCell ref="O26:O27"/>
    <mergeCell ref="O28:O29"/>
    <mergeCell ref="O30:O31"/>
    <mergeCell ref="C41:C42"/>
    <mergeCell ref="D41:D42"/>
    <mergeCell ref="E41:E42"/>
    <mergeCell ref="F41:F42"/>
    <mergeCell ref="G41:G42"/>
    <mergeCell ref="H41:H42"/>
    <mergeCell ref="I41:I42"/>
    <mergeCell ref="J41:J42"/>
    <mergeCell ref="K41:K42"/>
    <mergeCell ref="Y28:Y29"/>
    <mergeCell ref="Q25:Y25"/>
    <mergeCell ref="A36:O36"/>
    <mergeCell ref="F37:F38"/>
    <mergeCell ref="G37:G38"/>
    <mergeCell ref="H37:H38"/>
    <mergeCell ref="I37:I38"/>
    <mergeCell ref="J37:J38"/>
    <mergeCell ref="K37:K38"/>
    <mergeCell ref="L37:L38"/>
    <mergeCell ref="M37:M38"/>
    <mergeCell ref="N37:N38"/>
    <mergeCell ref="Q30:Q31"/>
    <mergeCell ref="R30:R31"/>
    <mergeCell ref="S30:S31"/>
    <mergeCell ref="T30:T31"/>
    <mergeCell ref="U30:U31"/>
    <mergeCell ref="V30:V31"/>
    <mergeCell ref="W30:W31"/>
    <mergeCell ref="X30:X31"/>
    <mergeCell ref="Y30:Y31"/>
    <mergeCell ref="U26:U27"/>
    <mergeCell ref="V26:V27"/>
    <mergeCell ref="W26:W27"/>
    <mergeCell ref="Q62:Q63"/>
    <mergeCell ref="R62:R63"/>
    <mergeCell ref="S62:S63"/>
    <mergeCell ref="T62:T63"/>
    <mergeCell ref="U62:U63"/>
    <mergeCell ref="V62:V63"/>
    <mergeCell ref="W62:W63"/>
    <mergeCell ref="X62:X63"/>
    <mergeCell ref="Y62:Y63"/>
    <mergeCell ref="U58:U59"/>
    <mergeCell ref="V58:V59"/>
    <mergeCell ref="W58:W59"/>
    <mergeCell ref="X58:X59"/>
    <mergeCell ref="Y58:Y59"/>
    <mergeCell ref="Q60:Q61"/>
    <mergeCell ref="R60:R61"/>
    <mergeCell ref="S60:S61"/>
    <mergeCell ref="T60:T61"/>
    <mergeCell ref="U60:U61"/>
    <mergeCell ref="V60:V61"/>
    <mergeCell ref="W60:W61"/>
    <mergeCell ref="X60:X61"/>
    <mergeCell ref="Y60:Y61"/>
    <mergeCell ref="O13:O14"/>
    <mergeCell ref="A14:N14"/>
    <mergeCell ref="A37:A38"/>
    <mergeCell ref="A39:A40"/>
    <mergeCell ref="A41:A42"/>
    <mergeCell ref="B37:B42"/>
    <mergeCell ref="C37:C38"/>
    <mergeCell ref="D37:D38"/>
    <mergeCell ref="E37:E38"/>
    <mergeCell ref="C39:C40"/>
    <mergeCell ref="D39:D40"/>
    <mergeCell ref="E39:E40"/>
    <mergeCell ref="F39:F40"/>
    <mergeCell ref="G39:G40"/>
    <mergeCell ref="H39:H40"/>
    <mergeCell ref="I39:I40"/>
    <mergeCell ref="J39:J40"/>
    <mergeCell ref="K39:K40"/>
    <mergeCell ref="L39:L40"/>
    <mergeCell ref="M39:M40"/>
    <mergeCell ref="N39:N40"/>
    <mergeCell ref="K15:K16"/>
    <mergeCell ref="L15:L16"/>
    <mergeCell ref="M15:M16"/>
    <mergeCell ref="Y55:Y56"/>
    <mergeCell ref="U55:U56"/>
    <mergeCell ref="T23:T24"/>
    <mergeCell ref="V53:V54"/>
    <mergeCell ref="Q47:Q48"/>
    <mergeCell ref="S47:S48"/>
    <mergeCell ref="T47:T48"/>
    <mergeCell ref="U47:U48"/>
    <mergeCell ref="V47:V48"/>
    <mergeCell ref="W47:W48"/>
    <mergeCell ref="X47:X48"/>
    <mergeCell ref="Y47:Y48"/>
    <mergeCell ref="R47:R48"/>
    <mergeCell ref="Q36:Q37"/>
    <mergeCell ref="S36:S37"/>
    <mergeCell ref="T36:T37"/>
    <mergeCell ref="U36:U37"/>
    <mergeCell ref="V36:V37"/>
    <mergeCell ref="W36:W37"/>
    <mergeCell ref="X36:X37"/>
    <mergeCell ref="Y36:Y37"/>
    <mergeCell ref="R36:R37"/>
    <mergeCell ref="Y26:Y27"/>
    <mergeCell ref="Q28:Q29"/>
    <mergeCell ref="C15:C16"/>
    <mergeCell ref="D15:D16"/>
    <mergeCell ref="E15:E16"/>
    <mergeCell ref="F15:F16"/>
    <mergeCell ref="Q57:Y57"/>
    <mergeCell ref="Q58:Q59"/>
    <mergeCell ref="R58:R59"/>
    <mergeCell ref="S58:S59"/>
    <mergeCell ref="T58:T59"/>
    <mergeCell ref="Q15:Q16"/>
    <mergeCell ref="S15:S16"/>
    <mergeCell ref="T15:T16"/>
    <mergeCell ref="U15:U16"/>
    <mergeCell ref="V15:V16"/>
    <mergeCell ref="W15:W16"/>
    <mergeCell ref="X15:X16"/>
    <mergeCell ref="Y15:Y16"/>
    <mergeCell ref="R15:R16"/>
    <mergeCell ref="Q55:Q56"/>
    <mergeCell ref="S55:S56"/>
    <mergeCell ref="T55:T56"/>
    <mergeCell ref="V55:V56"/>
    <mergeCell ref="W55:W56"/>
    <mergeCell ref="X55:X56"/>
    <mergeCell ref="C17:C18"/>
    <mergeCell ref="D17:D18"/>
    <mergeCell ref="E23:E24"/>
    <mergeCell ref="E28:E29"/>
    <mergeCell ref="F28:F29"/>
    <mergeCell ref="G28:G29"/>
    <mergeCell ref="N15:N16"/>
    <mergeCell ref="A15:A18"/>
    <mergeCell ref="A26:A29"/>
    <mergeCell ref="B15:B16"/>
    <mergeCell ref="B17:B18"/>
    <mergeCell ref="B19:B20"/>
    <mergeCell ref="B21:B22"/>
    <mergeCell ref="B23:B24"/>
    <mergeCell ref="B26:B27"/>
    <mergeCell ref="B28:B29"/>
    <mergeCell ref="C26:C27"/>
    <mergeCell ref="D26:D27"/>
    <mergeCell ref="E26:E27"/>
    <mergeCell ref="F26:F27"/>
    <mergeCell ref="G26:G27"/>
    <mergeCell ref="H26:H27"/>
    <mergeCell ref="I26:I27"/>
    <mergeCell ref="J26:J27"/>
    <mergeCell ref="A34:A35"/>
    <mergeCell ref="C34:C35"/>
    <mergeCell ref="D34:D35"/>
    <mergeCell ref="C28:C29"/>
    <mergeCell ref="D28:D29"/>
    <mergeCell ref="A30:A31"/>
    <mergeCell ref="C30:C31"/>
    <mergeCell ref="D30:D31"/>
    <mergeCell ref="A32:A33"/>
    <mergeCell ref="C32:C33"/>
    <mergeCell ref="D32:D33"/>
    <mergeCell ref="B30:B31"/>
    <mergeCell ref="B32:B33"/>
    <mergeCell ref="B34:B35"/>
    <mergeCell ref="R53:R54"/>
    <mergeCell ref="T53:T54"/>
    <mergeCell ref="U53:U54"/>
    <mergeCell ref="X23:X24"/>
    <mergeCell ref="S44:S45"/>
    <mergeCell ref="Q42:Q43"/>
    <mergeCell ref="T44:T45"/>
    <mergeCell ref="G15:G16"/>
    <mergeCell ref="H15:H16"/>
    <mergeCell ref="I15:I16"/>
    <mergeCell ref="J15:J16"/>
    <mergeCell ref="K26:K27"/>
    <mergeCell ref="L26:L27"/>
    <mergeCell ref="R28:R29"/>
    <mergeCell ref="S28:S29"/>
    <mergeCell ref="T28:T29"/>
    <mergeCell ref="U28:U29"/>
    <mergeCell ref="V28:V29"/>
    <mergeCell ref="W28:W29"/>
    <mergeCell ref="X28:X29"/>
    <mergeCell ref="X26:X27"/>
    <mergeCell ref="Q23:Q24"/>
    <mergeCell ref="S23:S24"/>
    <mergeCell ref="R23:R24"/>
    <mergeCell ref="R38:R39"/>
    <mergeCell ref="R40:R41"/>
    <mergeCell ref="R42:R43"/>
    <mergeCell ref="R44:R45"/>
    <mergeCell ref="R49:R50"/>
    <mergeCell ref="R51:R52"/>
    <mergeCell ref="R55:R56"/>
    <mergeCell ref="M21:M22"/>
    <mergeCell ref="D21:D22"/>
    <mergeCell ref="Q21:Q22"/>
    <mergeCell ref="S21:S22"/>
    <mergeCell ref="A21:A22"/>
    <mergeCell ref="C21:C22"/>
    <mergeCell ref="A19:A20"/>
    <mergeCell ref="C19:C20"/>
    <mergeCell ref="A23:A24"/>
    <mergeCell ref="C23:C24"/>
    <mergeCell ref="D23:D24"/>
    <mergeCell ref="D19:D20"/>
    <mergeCell ref="Q19:Q20"/>
    <mergeCell ref="R19:R20"/>
    <mergeCell ref="R21:R22"/>
    <mergeCell ref="S53:S54"/>
    <mergeCell ref="Q53:Q54"/>
    <mergeCell ref="F21:F22"/>
    <mergeCell ref="G21:G22"/>
    <mergeCell ref="H21:H22"/>
    <mergeCell ref="L21:L22"/>
    <mergeCell ref="J21:J22"/>
    <mergeCell ref="I19:I20"/>
    <mergeCell ref="Y23:Y24"/>
    <mergeCell ref="U23:U24"/>
    <mergeCell ref="W23:W24"/>
    <mergeCell ref="U17:U18"/>
    <mergeCell ref="W17:W18"/>
    <mergeCell ref="X21:X22"/>
    <mergeCell ref="Y51:Y52"/>
    <mergeCell ref="Y53:Y54"/>
    <mergeCell ref="Y19:Y20"/>
    <mergeCell ref="Y21:Y22"/>
    <mergeCell ref="Y44:Y45"/>
    <mergeCell ref="Y49:Y50"/>
    <mergeCell ref="V49:V50"/>
    <mergeCell ref="W49:W50"/>
    <mergeCell ref="X49:X50"/>
    <mergeCell ref="U42:U43"/>
    <mergeCell ref="V42:V43"/>
    <mergeCell ref="W42:W43"/>
    <mergeCell ref="X42:X43"/>
    <mergeCell ref="Y42:Y43"/>
    <mergeCell ref="U44:U45"/>
    <mergeCell ref="W53:W54"/>
    <mergeCell ref="X53:X54"/>
    <mergeCell ref="V23:V24"/>
    <mergeCell ref="T19:T20"/>
    <mergeCell ref="U21:U22"/>
    <mergeCell ref="W21:W22"/>
    <mergeCell ref="W19:W20"/>
    <mergeCell ref="X19:X20"/>
    <mergeCell ref="T21:T22"/>
    <mergeCell ref="V19:V20"/>
    <mergeCell ref="V21:V22"/>
    <mergeCell ref="R17:R18"/>
    <mergeCell ref="Q17:Q18"/>
    <mergeCell ref="S17:S18"/>
    <mergeCell ref="V17:V18"/>
    <mergeCell ref="X51:X52"/>
    <mergeCell ref="Q14:Y14"/>
    <mergeCell ref="U19:U20"/>
    <mergeCell ref="X17:X18"/>
    <mergeCell ref="Y17:Y18"/>
    <mergeCell ref="T17:T18"/>
    <mergeCell ref="S19:S20"/>
    <mergeCell ref="Q51:Q52"/>
    <mergeCell ref="S51:S52"/>
    <mergeCell ref="T51:T52"/>
    <mergeCell ref="U51:U52"/>
    <mergeCell ref="V51:V52"/>
    <mergeCell ref="W51:W52"/>
    <mergeCell ref="Q46:Y46"/>
    <mergeCell ref="Q49:Q50"/>
    <mergeCell ref="S49:S50"/>
    <mergeCell ref="T49:T50"/>
    <mergeCell ref="U49:U50"/>
    <mergeCell ref="V44:V45"/>
    <mergeCell ref="W44:W45"/>
    <mergeCell ref="X44:X45"/>
    <mergeCell ref="Q12:Y12"/>
    <mergeCell ref="Y38:Y39"/>
    <mergeCell ref="Q35:Y35"/>
    <mergeCell ref="U40:U41"/>
    <mergeCell ref="V40:V41"/>
    <mergeCell ref="I17:I18"/>
    <mergeCell ref="G17:G18"/>
    <mergeCell ref="H17:H18"/>
    <mergeCell ref="L17:L18"/>
    <mergeCell ref="M17:M18"/>
    <mergeCell ref="G19:G20"/>
    <mergeCell ref="H19:H20"/>
    <mergeCell ref="K17:K18"/>
    <mergeCell ref="K19:K20"/>
    <mergeCell ref="L19:L20"/>
    <mergeCell ref="I21:I22"/>
    <mergeCell ref="K21:K22"/>
    <mergeCell ref="Q33:Y33"/>
    <mergeCell ref="M26:M27"/>
    <mergeCell ref="N26:N27"/>
    <mergeCell ref="Q26:Q27"/>
    <mergeCell ref="R26:R27"/>
    <mergeCell ref="S26:S27"/>
    <mergeCell ref="T26:T27"/>
    <mergeCell ref="K48:N48"/>
    <mergeCell ref="Y40:Y41"/>
    <mergeCell ref="W38:W39"/>
    <mergeCell ref="W40:W41"/>
    <mergeCell ref="X40:X41"/>
    <mergeCell ref="Q38:Q39"/>
    <mergeCell ref="T40:T41"/>
    <mergeCell ref="S40:S41"/>
    <mergeCell ref="Q40:Q41"/>
    <mergeCell ref="U38:U39"/>
    <mergeCell ref="S38:S39"/>
    <mergeCell ref="T38:T39"/>
    <mergeCell ref="V38:V39"/>
    <mergeCell ref="X38:X39"/>
    <mergeCell ref="Q44:Q45"/>
    <mergeCell ref="S42:S43"/>
    <mergeCell ref="T42:T43"/>
    <mergeCell ref="N21:N22"/>
    <mergeCell ref="E21:E22"/>
    <mergeCell ref="N19:N20"/>
    <mergeCell ref="E19:E20"/>
    <mergeCell ref="N17:N18"/>
    <mergeCell ref="E17:E18"/>
    <mergeCell ref="N23:N24"/>
    <mergeCell ref="M23:M24"/>
    <mergeCell ref="L23:L24"/>
    <mergeCell ref="K23:K24"/>
    <mergeCell ref="J23:J24"/>
    <mergeCell ref="I23:I24"/>
    <mergeCell ref="H23:H24"/>
    <mergeCell ref="G23:G24"/>
    <mergeCell ref="F23:F24"/>
    <mergeCell ref="F19:F20"/>
    <mergeCell ref="F17:F18"/>
    <mergeCell ref="M19:M20"/>
    <mergeCell ref="J17:J18"/>
    <mergeCell ref="J19:J20"/>
    <mergeCell ref="H28:H29"/>
    <mergeCell ref="I28:I29"/>
    <mergeCell ref="J28:J29"/>
    <mergeCell ref="K28:K29"/>
    <mergeCell ref="L28:L29"/>
    <mergeCell ref="M28:M29"/>
    <mergeCell ref="F30:F31"/>
    <mergeCell ref="G30:G31"/>
    <mergeCell ref="H30:H31"/>
    <mergeCell ref="I30:I31"/>
    <mergeCell ref="J30:J31"/>
    <mergeCell ref="K30:K31"/>
    <mergeCell ref="L30:L31"/>
    <mergeCell ref="M30:M31"/>
    <mergeCell ref="N30:N31"/>
    <mergeCell ref="A11:Y11"/>
    <mergeCell ref="N32:N33"/>
    <mergeCell ref="E34:E35"/>
    <mergeCell ref="F34:F35"/>
    <mergeCell ref="G34:G35"/>
    <mergeCell ref="H34:H35"/>
    <mergeCell ref="I34:I35"/>
    <mergeCell ref="J34:J35"/>
    <mergeCell ref="K34:K35"/>
    <mergeCell ref="L34:L35"/>
    <mergeCell ref="M34:M35"/>
    <mergeCell ref="N34:N35"/>
    <mergeCell ref="E32:E33"/>
    <mergeCell ref="F32:F33"/>
    <mergeCell ref="G32:G33"/>
    <mergeCell ref="H32:H33"/>
    <mergeCell ref="I32:I33"/>
    <mergeCell ref="J32:J33"/>
    <mergeCell ref="K32:K33"/>
    <mergeCell ref="L32:L33"/>
    <mergeCell ref="M32:M33"/>
    <mergeCell ref="N28:N29"/>
    <mergeCell ref="E30:E31"/>
  </mergeCells>
  <hyperlinks>
    <hyperlink ref="A49" location="'Master Summary'!A1" display="Return To Master Summary"/>
  </hyperlink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vt:i4>
      </vt:variant>
    </vt:vector>
  </HeadingPairs>
  <TitlesOfParts>
    <vt:vector size="32" baseType="lpstr">
      <vt:lpstr>Master Summary</vt:lpstr>
      <vt:lpstr>Efficient_Fan_Motor</vt:lpstr>
      <vt:lpstr>Residential_ASHP</vt:lpstr>
      <vt:lpstr>Residential_CAC</vt:lpstr>
      <vt:lpstr>Res_CondensingFurnace_IMC</vt:lpstr>
      <vt:lpstr>Residential_HPWH</vt:lpstr>
      <vt:lpstr>Refrigerator_IMC</vt:lpstr>
      <vt:lpstr>Commercial_AC</vt:lpstr>
      <vt:lpstr>Commercial_HP</vt:lpstr>
      <vt:lpstr>VFD</vt:lpstr>
      <vt:lpstr>VFD_Calculator</vt:lpstr>
      <vt:lpstr>Residential Clothes Washer</vt:lpstr>
      <vt:lpstr>Comm_MidATRM_Mini Ductless HP</vt:lpstr>
      <vt:lpstr>Res Mini Ductless HP</vt:lpstr>
      <vt:lpstr>TRM Res HP Air Source  IC  </vt:lpstr>
      <vt:lpstr>TRM V6 ResCAC</vt:lpstr>
      <vt:lpstr>TRM Comm Unitary HVAC IC</vt:lpstr>
      <vt:lpstr>RES_Small_Gas_WH_Calcs</vt:lpstr>
      <vt:lpstr>Elec_Chillers_TRM_IMC</vt:lpstr>
      <vt:lpstr>Elct_Chillers_Water_Cooled_TOS</vt:lpstr>
      <vt:lpstr>Elct_Chillers_Water_Cooled_ER</vt:lpstr>
      <vt:lpstr>Elct_Chillers_Air_Cooled_TOS</vt:lpstr>
      <vt:lpstr>Elct_Chillers_Air_Cooled_ER</vt:lpstr>
      <vt:lpstr>Occupancy_Sensor</vt:lpstr>
      <vt:lpstr>Room_AC_Calculations</vt:lpstr>
      <vt:lpstr>Inflation</vt:lpstr>
      <vt:lpstr>Labor Adjustment</vt:lpstr>
      <vt:lpstr>Equipment Results Matrix</vt:lpstr>
      <vt:lpstr>Labor Results Matrix</vt:lpstr>
      <vt:lpstr>'Master Summary'!_ftn1</vt:lpstr>
      <vt:lpstr>'Master Summary'!_ftnref1</vt:lpstr>
      <vt:lpstr>'Master Summary'!_Ref257260142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Barquest, Ethan</dc:creator>
  <cp:lastModifiedBy>Loper, Joe</cp:lastModifiedBy>
  <dcterms:created xsi:type="dcterms:W3CDTF">2017-01-06T00:28:49Z</dcterms:created>
  <dcterms:modified xsi:type="dcterms:W3CDTF">2017-05-09T17:48:08Z</dcterms:modified>
</cp:coreProperties>
</file>