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hi1islfls01\Energy\NEEP Mid-Atlantic TRM\Analysis\Decker\O-M Update\"/>
    </mc:Choice>
  </mc:AlternateContent>
  <bookViews>
    <workbookView xWindow="0" yWindow="0" windowWidth="23040" windowHeight="8964" tabRatio="864"/>
  </bookViews>
  <sheets>
    <sheet name="O&amp;M_Calculations" sheetId="4" r:id="rId1"/>
    <sheet name="Conceptual Approach" sheetId="10" r:id="rId2"/>
    <sheet name="FormulaDetails" sheetId="8" r:id="rId3"/>
    <sheet name="Assumptions" sheetId="3" r:id="rId4"/>
  </sheets>
  <definedNames>
    <definedName name="AnnualizedCostStart">'O&amp;M_Calculations'!$E$1</definedName>
    <definedName name="BldgLaborerWageRate">Assumptions!$F$13</definedName>
    <definedName name="DiscountRate" localSheetId="0">'O&amp;M_Calculations'!$B$2</definedName>
    <definedName name="ElectricianWageRate">Assumptions!$F$14</definedName>
    <definedName name="MaintenanceWageRate">Assumptions!$E$8</definedName>
    <definedName name="ProgramYear" localSheetId="0">'O&amp;M_Calculations'!$B$1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0" l="1"/>
  <c r="A39" i="10"/>
  <c r="A25" i="10"/>
  <c r="A21" i="10"/>
  <c r="EG6" i="4"/>
  <c r="EG7" i="4"/>
  <c r="EG8" i="4"/>
  <c r="EG9" i="4"/>
  <c r="EG10" i="4"/>
  <c r="EG11" i="4"/>
  <c r="EG12" i="4"/>
  <c r="EG13" i="4"/>
  <c r="EG14" i="4"/>
  <c r="EG15" i="4"/>
  <c r="EG16" i="4"/>
  <c r="EG17" i="4"/>
  <c r="EG18" i="4"/>
  <c r="EG19" i="4"/>
  <c r="EG20" i="4"/>
  <c r="EG21" i="4"/>
  <c r="EG22" i="4"/>
  <c r="EG23" i="4"/>
  <c r="EG24" i="4"/>
  <c r="EG25" i="4"/>
  <c r="EG26" i="4"/>
  <c r="EG27" i="4"/>
  <c r="EG28" i="4"/>
  <c r="EG29" i="4"/>
  <c r="EG30" i="4"/>
  <c r="EG31" i="4"/>
  <c r="EG32" i="4"/>
  <c r="EG33" i="4"/>
  <c r="EG34" i="4"/>
  <c r="EG35" i="4"/>
  <c r="EG36" i="4"/>
  <c r="EG37" i="4"/>
  <c r="EG38" i="4"/>
  <c r="EG39" i="4"/>
  <c r="EG40" i="4"/>
  <c r="EH6" i="4"/>
  <c r="EH7" i="4"/>
  <c r="EH8" i="4"/>
  <c r="EH9" i="4"/>
  <c r="EH10" i="4"/>
  <c r="EH11" i="4"/>
  <c r="EH12" i="4"/>
  <c r="EH13" i="4"/>
  <c r="EH14" i="4"/>
  <c r="EH15" i="4"/>
  <c r="EH16" i="4"/>
  <c r="EH17" i="4"/>
  <c r="EH18" i="4"/>
  <c r="EH19" i="4"/>
  <c r="EH20" i="4"/>
  <c r="EH21" i="4"/>
  <c r="EH22" i="4"/>
  <c r="EH23" i="4"/>
  <c r="EH24" i="4"/>
  <c r="EH25" i="4"/>
  <c r="EH26" i="4"/>
  <c r="EH27" i="4"/>
  <c r="EH28" i="4"/>
  <c r="EH29" i="4"/>
  <c r="EH30" i="4"/>
  <c r="EH31" i="4"/>
  <c r="EH32" i="4"/>
  <c r="EH33" i="4"/>
  <c r="EH34" i="4"/>
  <c r="EH35" i="4"/>
  <c r="EH36" i="4"/>
  <c r="EH37" i="4"/>
  <c r="EH38" i="4"/>
  <c r="EH39" i="4"/>
  <c r="EH40" i="4"/>
  <c r="EI6" i="4"/>
  <c r="EI7" i="4"/>
  <c r="EI8" i="4"/>
  <c r="EI9" i="4"/>
  <c r="EI10" i="4"/>
  <c r="EI11" i="4"/>
  <c r="EI12" i="4"/>
  <c r="EI13" i="4"/>
  <c r="EI14" i="4"/>
  <c r="EI15" i="4"/>
  <c r="EI16" i="4"/>
  <c r="EI17" i="4"/>
  <c r="EI18" i="4"/>
  <c r="EI19" i="4"/>
  <c r="EI20" i="4"/>
  <c r="EI21" i="4"/>
  <c r="EI22" i="4"/>
  <c r="EI23" i="4"/>
  <c r="EI24" i="4"/>
  <c r="EI25" i="4"/>
  <c r="EI26" i="4"/>
  <c r="EI27" i="4"/>
  <c r="EI28" i="4"/>
  <c r="EI29" i="4"/>
  <c r="EI30" i="4"/>
  <c r="EI31" i="4"/>
  <c r="EI32" i="4"/>
  <c r="EI33" i="4"/>
  <c r="EI34" i="4"/>
  <c r="EI35" i="4"/>
  <c r="EI36" i="4"/>
  <c r="EI37" i="4"/>
  <c r="EI38" i="4"/>
  <c r="EI39" i="4"/>
  <c r="EI40" i="4"/>
  <c r="EJ6" i="4"/>
  <c r="EJ7" i="4"/>
  <c r="EJ8" i="4"/>
  <c r="EJ9" i="4"/>
  <c r="EJ10" i="4"/>
  <c r="EJ11" i="4"/>
  <c r="EJ12" i="4"/>
  <c r="EJ13" i="4"/>
  <c r="EJ14" i="4"/>
  <c r="EJ15" i="4"/>
  <c r="EJ16" i="4"/>
  <c r="EJ17" i="4"/>
  <c r="EJ18" i="4"/>
  <c r="EJ19" i="4"/>
  <c r="EJ20" i="4"/>
  <c r="EJ21" i="4"/>
  <c r="EJ22" i="4"/>
  <c r="EJ23" i="4"/>
  <c r="EJ24" i="4"/>
  <c r="EJ25" i="4"/>
  <c r="EJ26" i="4"/>
  <c r="EJ27" i="4"/>
  <c r="EJ28" i="4"/>
  <c r="EJ29" i="4"/>
  <c r="EJ30" i="4"/>
  <c r="EJ31" i="4"/>
  <c r="EJ32" i="4"/>
  <c r="EJ33" i="4"/>
  <c r="EJ34" i="4"/>
  <c r="EJ35" i="4"/>
  <c r="EJ36" i="4"/>
  <c r="EJ37" i="4"/>
  <c r="EJ38" i="4"/>
  <c r="EJ39" i="4"/>
  <c r="EJ40" i="4"/>
  <c r="EK6" i="4"/>
  <c r="EK7" i="4"/>
  <c r="EK8" i="4"/>
  <c r="EK9" i="4"/>
  <c r="EK10" i="4"/>
  <c r="EK11" i="4"/>
  <c r="EK12" i="4"/>
  <c r="EK13" i="4"/>
  <c r="EK14" i="4"/>
  <c r="EK15" i="4"/>
  <c r="EK16" i="4"/>
  <c r="EK17" i="4"/>
  <c r="EK18" i="4"/>
  <c r="EK19" i="4"/>
  <c r="EK20" i="4"/>
  <c r="EK21" i="4"/>
  <c r="EK22" i="4"/>
  <c r="EK23" i="4"/>
  <c r="EK24" i="4"/>
  <c r="EK25" i="4"/>
  <c r="EK26" i="4"/>
  <c r="EK27" i="4"/>
  <c r="EK28" i="4"/>
  <c r="EK29" i="4"/>
  <c r="EK30" i="4"/>
  <c r="EK31" i="4"/>
  <c r="EK32" i="4"/>
  <c r="EK33" i="4"/>
  <c r="EK34" i="4"/>
  <c r="EK35" i="4"/>
  <c r="EK36" i="4"/>
  <c r="EK37" i="4"/>
  <c r="EK38" i="4"/>
  <c r="EK39" i="4"/>
  <c r="EK40" i="4"/>
  <c r="EL6" i="4"/>
  <c r="EL7" i="4"/>
  <c r="EL8" i="4"/>
  <c r="EL9" i="4"/>
  <c r="EL10" i="4"/>
  <c r="EL11" i="4"/>
  <c r="EL12" i="4"/>
  <c r="EL13" i="4"/>
  <c r="EL14" i="4"/>
  <c r="EL15" i="4"/>
  <c r="EL16" i="4"/>
  <c r="EL17" i="4"/>
  <c r="EL18" i="4"/>
  <c r="EL19" i="4"/>
  <c r="EL20" i="4"/>
  <c r="EL21" i="4"/>
  <c r="EL22" i="4"/>
  <c r="EL23" i="4"/>
  <c r="EL24" i="4"/>
  <c r="EL25" i="4"/>
  <c r="EL26" i="4"/>
  <c r="EL27" i="4"/>
  <c r="EL28" i="4"/>
  <c r="EL29" i="4"/>
  <c r="EL30" i="4"/>
  <c r="EL31" i="4"/>
  <c r="EL32" i="4"/>
  <c r="EL33" i="4"/>
  <c r="EL34" i="4"/>
  <c r="EL35" i="4"/>
  <c r="EL36" i="4"/>
  <c r="EL37" i="4"/>
  <c r="EL38" i="4"/>
  <c r="EL39" i="4"/>
  <c r="EL40" i="4"/>
  <c r="EM6" i="4"/>
  <c r="EM7" i="4"/>
  <c r="EM8" i="4"/>
  <c r="EM9" i="4"/>
  <c r="EM10" i="4"/>
  <c r="EM11" i="4"/>
  <c r="EM12" i="4"/>
  <c r="EM13" i="4"/>
  <c r="EM14" i="4"/>
  <c r="EM15" i="4"/>
  <c r="EM16" i="4"/>
  <c r="EM17" i="4"/>
  <c r="EM18" i="4"/>
  <c r="EM19" i="4"/>
  <c r="EM20" i="4"/>
  <c r="EM21" i="4"/>
  <c r="EM22" i="4"/>
  <c r="EM23" i="4"/>
  <c r="EM24" i="4"/>
  <c r="EM25" i="4"/>
  <c r="EM26" i="4"/>
  <c r="EM27" i="4"/>
  <c r="EM28" i="4"/>
  <c r="EM29" i="4"/>
  <c r="EM30" i="4"/>
  <c r="EM31" i="4"/>
  <c r="EM32" i="4"/>
  <c r="EM33" i="4"/>
  <c r="EM34" i="4"/>
  <c r="EM35" i="4"/>
  <c r="EM36" i="4"/>
  <c r="EM37" i="4"/>
  <c r="EM38" i="4"/>
  <c r="EM39" i="4"/>
  <c r="EM40" i="4"/>
  <c r="EN6" i="4"/>
  <c r="EN7" i="4"/>
  <c r="EN8" i="4"/>
  <c r="EN9" i="4"/>
  <c r="EN10" i="4"/>
  <c r="EN11" i="4"/>
  <c r="EN12" i="4"/>
  <c r="EN13" i="4"/>
  <c r="EN14" i="4"/>
  <c r="EN15" i="4"/>
  <c r="EN16" i="4"/>
  <c r="EN17" i="4"/>
  <c r="EN18" i="4"/>
  <c r="EN19" i="4"/>
  <c r="EN20" i="4"/>
  <c r="EN21" i="4"/>
  <c r="EN22" i="4"/>
  <c r="EN23" i="4"/>
  <c r="EN24" i="4"/>
  <c r="EN25" i="4"/>
  <c r="EN26" i="4"/>
  <c r="EN27" i="4"/>
  <c r="EN28" i="4"/>
  <c r="EN29" i="4"/>
  <c r="EN30" i="4"/>
  <c r="EN31" i="4"/>
  <c r="EN32" i="4"/>
  <c r="EN33" i="4"/>
  <c r="EN34" i="4"/>
  <c r="EN35" i="4"/>
  <c r="EN36" i="4"/>
  <c r="EN37" i="4"/>
  <c r="EN38" i="4"/>
  <c r="EN39" i="4"/>
  <c r="EN40" i="4"/>
  <c r="EO6" i="4"/>
  <c r="EO7" i="4"/>
  <c r="EO8" i="4"/>
  <c r="EO9" i="4"/>
  <c r="EO10" i="4"/>
  <c r="EO11" i="4"/>
  <c r="EO12" i="4"/>
  <c r="EO13" i="4"/>
  <c r="EO14" i="4"/>
  <c r="EO15" i="4"/>
  <c r="EO16" i="4"/>
  <c r="EO17" i="4"/>
  <c r="EO18" i="4"/>
  <c r="EO19" i="4"/>
  <c r="EO20" i="4"/>
  <c r="EO21" i="4"/>
  <c r="EO22" i="4"/>
  <c r="EO23" i="4"/>
  <c r="EO24" i="4"/>
  <c r="EO25" i="4"/>
  <c r="EO26" i="4"/>
  <c r="EO27" i="4"/>
  <c r="EO28" i="4"/>
  <c r="EO29" i="4"/>
  <c r="EO30" i="4"/>
  <c r="EO31" i="4"/>
  <c r="EO32" i="4"/>
  <c r="EO33" i="4"/>
  <c r="EO34" i="4"/>
  <c r="EO35" i="4"/>
  <c r="EO36" i="4"/>
  <c r="EO37" i="4"/>
  <c r="EO38" i="4"/>
  <c r="EO39" i="4"/>
  <c r="EO40" i="4"/>
  <c r="EP6" i="4"/>
  <c r="EP7" i="4"/>
  <c r="EP8" i="4"/>
  <c r="EP9" i="4"/>
  <c r="EP10" i="4"/>
  <c r="EP11" i="4"/>
  <c r="EP12" i="4"/>
  <c r="EP13" i="4"/>
  <c r="EP14" i="4"/>
  <c r="EP15" i="4"/>
  <c r="EP16" i="4"/>
  <c r="EP17" i="4"/>
  <c r="EP18" i="4"/>
  <c r="EP19" i="4"/>
  <c r="EP20" i="4"/>
  <c r="EP21" i="4"/>
  <c r="EP22" i="4"/>
  <c r="EP23" i="4"/>
  <c r="EP24" i="4"/>
  <c r="EP25" i="4"/>
  <c r="EP26" i="4"/>
  <c r="EP27" i="4"/>
  <c r="EP28" i="4"/>
  <c r="EP29" i="4"/>
  <c r="EP30" i="4"/>
  <c r="EP31" i="4"/>
  <c r="EP32" i="4"/>
  <c r="EP33" i="4"/>
  <c r="EP34" i="4"/>
  <c r="EP35" i="4"/>
  <c r="EP36" i="4"/>
  <c r="EP37" i="4"/>
  <c r="EP38" i="4"/>
  <c r="EP39" i="4"/>
  <c r="EP40" i="4"/>
  <c r="EQ6" i="4"/>
  <c r="EQ7" i="4"/>
  <c r="EQ8" i="4"/>
  <c r="EQ9" i="4"/>
  <c r="EQ10" i="4"/>
  <c r="EQ11" i="4"/>
  <c r="EQ12" i="4"/>
  <c r="EQ13" i="4"/>
  <c r="EQ14" i="4"/>
  <c r="EQ15" i="4"/>
  <c r="EQ16" i="4"/>
  <c r="EQ17" i="4"/>
  <c r="EQ18" i="4"/>
  <c r="EQ19" i="4"/>
  <c r="EQ20" i="4"/>
  <c r="EQ21" i="4"/>
  <c r="EQ22" i="4"/>
  <c r="EQ23" i="4"/>
  <c r="EQ24" i="4"/>
  <c r="EQ25" i="4"/>
  <c r="EQ26" i="4"/>
  <c r="EQ27" i="4"/>
  <c r="EQ28" i="4"/>
  <c r="EQ29" i="4"/>
  <c r="EQ30" i="4"/>
  <c r="EQ31" i="4"/>
  <c r="EQ32" i="4"/>
  <c r="EQ33" i="4"/>
  <c r="EQ34" i="4"/>
  <c r="EQ35" i="4"/>
  <c r="EQ36" i="4"/>
  <c r="EQ37" i="4"/>
  <c r="EQ38" i="4"/>
  <c r="EQ39" i="4"/>
  <c r="EQ40" i="4"/>
  <c r="ER6" i="4"/>
  <c r="ER7" i="4"/>
  <c r="ER8" i="4"/>
  <c r="ER9" i="4"/>
  <c r="ER10" i="4"/>
  <c r="ER11" i="4"/>
  <c r="ER12" i="4"/>
  <c r="ER13" i="4"/>
  <c r="ER14" i="4"/>
  <c r="ER15" i="4"/>
  <c r="ER16" i="4"/>
  <c r="ER17" i="4"/>
  <c r="ER18" i="4"/>
  <c r="ER19" i="4"/>
  <c r="ER20" i="4"/>
  <c r="ER21" i="4"/>
  <c r="ER22" i="4"/>
  <c r="ER23" i="4"/>
  <c r="ER24" i="4"/>
  <c r="ER25" i="4"/>
  <c r="ER26" i="4"/>
  <c r="ER27" i="4"/>
  <c r="ER28" i="4"/>
  <c r="ER29" i="4"/>
  <c r="ER30" i="4"/>
  <c r="ER31" i="4"/>
  <c r="ER32" i="4"/>
  <c r="ER33" i="4"/>
  <c r="ER34" i="4"/>
  <c r="ER35" i="4"/>
  <c r="ER36" i="4"/>
  <c r="ER37" i="4"/>
  <c r="ER38" i="4"/>
  <c r="ER39" i="4"/>
  <c r="ER40" i="4"/>
  <c r="ES6" i="4"/>
  <c r="ES7" i="4"/>
  <c r="ES8" i="4"/>
  <c r="ES9" i="4"/>
  <c r="ES10" i="4"/>
  <c r="ES11" i="4"/>
  <c r="ES12" i="4"/>
  <c r="ES13" i="4"/>
  <c r="ES14" i="4"/>
  <c r="ES15" i="4"/>
  <c r="ES16" i="4"/>
  <c r="ES17" i="4"/>
  <c r="ES18" i="4"/>
  <c r="ES19" i="4"/>
  <c r="ES20" i="4"/>
  <c r="ES21" i="4"/>
  <c r="ES22" i="4"/>
  <c r="ES23" i="4"/>
  <c r="ES24" i="4"/>
  <c r="ES25" i="4"/>
  <c r="ES26" i="4"/>
  <c r="ES27" i="4"/>
  <c r="ES28" i="4"/>
  <c r="ES29" i="4"/>
  <c r="ES30" i="4"/>
  <c r="ES31" i="4"/>
  <c r="ES32" i="4"/>
  <c r="ES33" i="4"/>
  <c r="ES34" i="4"/>
  <c r="ES35" i="4"/>
  <c r="ES36" i="4"/>
  <c r="ES37" i="4"/>
  <c r="ES38" i="4"/>
  <c r="ES39" i="4"/>
  <c r="ES40" i="4"/>
  <c r="ET6" i="4"/>
  <c r="ET7" i="4"/>
  <c r="ET8" i="4"/>
  <c r="ET9" i="4"/>
  <c r="ET10" i="4"/>
  <c r="ET11" i="4"/>
  <c r="ET12" i="4"/>
  <c r="ET13" i="4"/>
  <c r="ET14" i="4"/>
  <c r="ET15" i="4"/>
  <c r="ET16" i="4"/>
  <c r="ET17" i="4"/>
  <c r="ET18" i="4"/>
  <c r="ET19" i="4"/>
  <c r="ET20" i="4"/>
  <c r="ET21" i="4"/>
  <c r="ET22" i="4"/>
  <c r="ET23" i="4"/>
  <c r="ET24" i="4"/>
  <c r="ET25" i="4"/>
  <c r="ET26" i="4"/>
  <c r="ET27" i="4"/>
  <c r="ET28" i="4"/>
  <c r="ET29" i="4"/>
  <c r="ET30" i="4"/>
  <c r="ET31" i="4"/>
  <c r="ET32" i="4"/>
  <c r="ET33" i="4"/>
  <c r="ET34" i="4"/>
  <c r="ET35" i="4"/>
  <c r="ET36" i="4"/>
  <c r="ET37" i="4"/>
  <c r="ET38" i="4"/>
  <c r="ET39" i="4"/>
  <c r="ET40" i="4"/>
  <c r="EU6" i="4"/>
  <c r="EU7" i="4"/>
  <c r="EU8" i="4"/>
  <c r="EU9" i="4"/>
  <c r="EU10" i="4"/>
  <c r="EU11" i="4"/>
  <c r="EU12" i="4"/>
  <c r="EU13" i="4"/>
  <c r="EU14" i="4"/>
  <c r="EU15" i="4"/>
  <c r="EU16" i="4"/>
  <c r="EU17" i="4"/>
  <c r="EU18" i="4"/>
  <c r="EU19" i="4"/>
  <c r="EU20" i="4"/>
  <c r="EU21" i="4"/>
  <c r="EU22" i="4"/>
  <c r="EU23" i="4"/>
  <c r="EU24" i="4"/>
  <c r="EU25" i="4"/>
  <c r="EU26" i="4"/>
  <c r="EU27" i="4"/>
  <c r="EU28" i="4"/>
  <c r="EU29" i="4"/>
  <c r="EU30" i="4"/>
  <c r="EU31" i="4"/>
  <c r="EU32" i="4"/>
  <c r="EU33" i="4"/>
  <c r="EU34" i="4"/>
  <c r="EU35" i="4"/>
  <c r="EU36" i="4"/>
  <c r="EU37" i="4"/>
  <c r="EU38" i="4"/>
  <c r="EU39" i="4"/>
  <c r="EU40" i="4"/>
  <c r="EV6" i="4"/>
  <c r="EV7" i="4"/>
  <c r="EV8" i="4"/>
  <c r="EV9" i="4"/>
  <c r="EV10" i="4"/>
  <c r="EV11" i="4"/>
  <c r="EV12" i="4"/>
  <c r="EV13" i="4"/>
  <c r="EV14" i="4"/>
  <c r="EV15" i="4"/>
  <c r="EV16" i="4"/>
  <c r="EV17" i="4"/>
  <c r="EV18" i="4"/>
  <c r="EV19" i="4"/>
  <c r="EV20" i="4"/>
  <c r="EV21" i="4"/>
  <c r="EV22" i="4"/>
  <c r="EV23" i="4"/>
  <c r="EV24" i="4"/>
  <c r="EV25" i="4"/>
  <c r="EV26" i="4"/>
  <c r="EV27" i="4"/>
  <c r="EV28" i="4"/>
  <c r="EV29" i="4"/>
  <c r="EV30" i="4"/>
  <c r="EV31" i="4"/>
  <c r="EV32" i="4"/>
  <c r="EV33" i="4"/>
  <c r="EV34" i="4"/>
  <c r="EV35" i="4"/>
  <c r="EV36" i="4"/>
  <c r="EV37" i="4"/>
  <c r="EV38" i="4"/>
  <c r="EV39" i="4"/>
  <c r="EV40" i="4"/>
  <c r="EW6" i="4"/>
  <c r="EW7" i="4"/>
  <c r="EW8" i="4"/>
  <c r="EW9" i="4"/>
  <c r="EW10" i="4"/>
  <c r="EW11" i="4"/>
  <c r="EW12" i="4"/>
  <c r="EW13" i="4"/>
  <c r="EW14" i="4"/>
  <c r="EW15" i="4"/>
  <c r="EW16" i="4"/>
  <c r="EW17" i="4"/>
  <c r="EW18" i="4"/>
  <c r="EW19" i="4"/>
  <c r="EW20" i="4"/>
  <c r="EW21" i="4"/>
  <c r="EW22" i="4"/>
  <c r="EW23" i="4"/>
  <c r="EW24" i="4"/>
  <c r="EW25" i="4"/>
  <c r="EW26" i="4"/>
  <c r="EW27" i="4"/>
  <c r="EW28" i="4"/>
  <c r="EW29" i="4"/>
  <c r="EW30" i="4"/>
  <c r="EW31" i="4"/>
  <c r="EW32" i="4"/>
  <c r="EW33" i="4"/>
  <c r="EW34" i="4"/>
  <c r="EW35" i="4"/>
  <c r="EW36" i="4"/>
  <c r="EW37" i="4"/>
  <c r="EW38" i="4"/>
  <c r="EW39" i="4"/>
  <c r="EW40" i="4"/>
  <c r="EX6" i="4"/>
  <c r="EX7" i="4"/>
  <c r="EX8" i="4"/>
  <c r="EX9" i="4"/>
  <c r="EX10" i="4"/>
  <c r="EX11" i="4"/>
  <c r="EX12" i="4"/>
  <c r="EX13" i="4"/>
  <c r="EX14" i="4"/>
  <c r="EX15" i="4"/>
  <c r="EX16" i="4"/>
  <c r="EX17" i="4"/>
  <c r="EX18" i="4"/>
  <c r="EX19" i="4"/>
  <c r="EX20" i="4"/>
  <c r="EX21" i="4"/>
  <c r="EX22" i="4"/>
  <c r="EX23" i="4"/>
  <c r="EX24" i="4"/>
  <c r="EX25" i="4"/>
  <c r="EX26" i="4"/>
  <c r="EX27" i="4"/>
  <c r="EX28" i="4"/>
  <c r="EX29" i="4"/>
  <c r="EX30" i="4"/>
  <c r="EX31" i="4"/>
  <c r="EX32" i="4"/>
  <c r="EX33" i="4"/>
  <c r="EX34" i="4"/>
  <c r="EX35" i="4"/>
  <c r="EX36" i="4"/>
  <c r="EX37" i="4"/>
  <c r="EX38" i="4"/>
  <c r="EX39" i="4"/>
  <c r="EX40" i="4"/>
  <c r="EY6" i="4"/>
  <c r="EY7" i="4"/>
  <c r="EY8" i="4"/>
  <c r="EY9" i="4"/>
  <c r="EY10" i="4"/>
  <c r="EY11" i="4"/>
  <c r="EY12" i="4"/>
  <c r="EY13" i="4"/>
  <c r="EY14" i="4"/>
  <c r="EY15" i="4"/>
  <c r="EY16" i="4"/>
  <c r="EY17" i="4"/>
  <c r="EY18" i="4"/>
  <c r="EY19" i="4"/>
  <c r="EY20" i="4"/>
  <c r="EY21" i="4"/>
  <c r="EY22" i="4"/>
  <c r="EY23" i="4"/>
  <c r="EY24" i="4"/>
  <c r="EY25" i="4"/>
  <c r="EY26" i="4"/>
  <c r="EY27" i="4"/>
  <c r="EY28" i="4"/>
  <c r="EY29" i="4"/>
  <c r="EY30" i="4"/>
  <c r="EY31" i="4"/>
  <c r="EY32" i="4"/>
  <c r="EY33" i="4"/>
  <c r="EY34" i="4"/>
  <c r="EY35" i="4"/>
  <c r="EY36" i="4"/>
  <c r="EY37" i="4"/>
  <c r="EY38" i="4"/>
  <c r="EY39" i="4"/>
  <c r="EY40" i="4"/>
  <c r="EZ6" i="4"/>
  <c r="EZ7" i="4"/>
  <c r="EZ8" i="4"/>
  <c r="EZ9" i="4"/>
  <c r="EZ10" i="4"/>
  <c r="EZ11" i="4"/>
  <c r="EZ12" i="4"/>
  <c r="EZ13" i="4"/>
  <c r="EZ14" i="4"/>
  <c r="EZ15" i="4"/>
  <c r="EZ16" i="4"/>
  <c r="EZ17" i="4"/>
  <c r="EZ18" i="4"/>
  <c r="EZ19" i="4"/>
  <c r="EZ20" i="4"/>
  <c r="EZ21" i="4"/>
  <c r="EZ22" i="4"/>
  <c r="EZ23" i="4"/>
  <c r="EZ24" i="4"/>
  <c r="EZ25" i="4"/>
  <c r="EZ26" i="4"/>
  <c r="EZ27" i="4"/>
  <c r="EZ28" i="4"/>
  <c r="EZ29" i="4"/>
  <c r="EZ30" i="4"/>
  <c r="EZ31" i="4"/>
  <c r="EZ32" i="4"/>
  <c r="EZ33" i="4"/>
  <c r="EZ34" i="4"/>
  <c r="EZ35" i="4"/>
  <c r="EZ36" i="4"/>
  <c r="EZ37" i="4"/>
  <c r="EZ38" i="4"/>
  <c r="EZ39" i="4"/>
  <c r="EZ40" i="4"/>
  <c r="EF6" i="4"/>
  <c r="EF7" i="4"/>
  <c r="EF8" i="4"/>
  <c r="EF9" i="4"/>
  <c r="EF10" i="4"/>
  <c r="EF11" i="4"/>
  <c r="EF12" i="4"/>
  <c r="EF13" i="4"/>
  <c r="EF14" i="4"/>
  <c r="EF15" i="4"/>
  <c r="EF16" i="4"/>
  <c r="EF17" i="4"/>
  <c r="EF18" i="4"/>
  <c r="EF19" i="4"/>
  <c r="EF20" i="4"/>
  <c r="EF21" i="4"/>
  <c r="EF22" i="4"/>
  <c r="EF23" i="4"/>
  <c r="EF24" i="4"/>
  <c r="EF25" i="4"/>
  <c r="EF26" i="4"/>
  <c r="EF27" i="4"/>
  <c r="EF28" i="4"/>
  <c r="EF29" i="4"/>
  <c r="EF30" i="4"/>
  <c r="EF31" i="4"/>
  <c r="EF32" i="4"/>
  <c r="EF33" i="4"/>
  <c r="EF34" i="4"/>
  <c r="EF35" i="4"/>
  <c r="EF36" i="4"/>
  <c r="EF37" i="4"/>
  <c r="EF38" i="4"/>
  <c r="EF39" i="4"/>
  <c r="EF40" i="4"/>
  <c r="EE40" i="4"/>
  <c r="EE39" i="4"/>
  <c r="EE38" i="4"/>
  <c r="EE37" i="4"/>
  <c r="EE36" i="4"/>
  <c r="EE35" i="4"/>
  <c r="EE34" i="4"/>
  <c r="EE33" i="4"/>
  <c r="EE32" i="4"/>
  <c r="EE31" i="4"/>
  <c r="EE30" i="4"/>
  <c r="EE29" i="4"/>
  <c r="EE28" i="4"/>
  <c r="EE27" i="4"/>
  <c r="EE26" i="4"/>
  <c r="EE25" i="4"/>
  <c r="EE24" i="4"/>
  <c r="EE23" i="4"/>
  <c r="EE22" i="4"/>
  <c r="EE21" i="4"/>
  <c r="EE20" i="4"/>
  <c r="EE19" i="4"/>
  <c r="EE18" i="4"/>
  <c r="EE17" i="4"/>
  <c r="EE16" i="4"/>
  <c r="EE15" i="4"/>
  <c r="EE14" i="4"/>
  <c r="EE13" i="4"/>
  <c r="EE12" i="4"/>
  <c r="EE11" i="4"/>
  <c r="EE10" i="4"/>
  <c r="EE9" i="4"/>
  <c r="EE8" i="4"/>
  <c r="EE7" i="4"/>
  <c r="EE6" i="4"/>
  <c r="ED40" i="4"/>
  <c r="ED39" i="4"/>
  <c r="ED38" i="4"/>
  <c r="ED37" i="4"/>
  <c r="ED36" i="4"/>
  <c r="ED35" i="4"/>
  <c r="ED34" i="4"/>
  <c r="ED33" i="4"/>
  <c r="ED32" i="4"/>
  <c r="ED31" i="4"/>
  <c r="ED30" i="4"/>
  <c r="ED29" i="4"/>
  <c r="ED28" i="4"/>
  <c r="ED27" i="4"/>
  <c r="ED26" i="4"/>
  <c r="ED25" i="4"/>
  <c r="ED24" i="4"/>
  <c r="ED23" i="4"/>
  <c r="ED22" i="4"/>
  <c r="ED21" i="4"/>
  <c r="ED20" i="4"/>
  <c r="ED19" i="4"/>
  <c r="ED18" i="4"/>
  <c r="ED17" i="4"/>
  <c r="ED16" i="4"/>
  <c r="ED15" i="4"/>
  <c r="ED14" i="4"/>
  <c r="ED13" i="4"/>
  <c r="ED12" i="4"/>
  <c r="ED11" i="4"/>
  <c r="ED10" i="4"/>
  <c r="ED9" i="4"/>
  <c r="ED8" i="4"/>
  <c r="ED7" i="4"/>
  <c r="ED6" i="4"/>
  <c r="EC40" i="4"/>
  <c r="EC39" i="4"/>
  <c r="EC38" i="4"/>
  <c r="EC37" i="4"/>
  <c r="EC36" i="4"/>
  <c r="EC35" i="4"/>
  <c r="EC34" i="4"/>
  <c r="EC33" i="4"/>
  <c r="EC32" i="4"/>
  <c r="EC31" i="4"/>
  <c r="EC30" i="4"/>
  <c r="EC29" i="4"/>
  <c r="EC28" i="4"/>
  <c r="EC27" i="4"/>
  <c r="EC26" i="4"/>
  <c r="EC25" i="4"/>
  <c r="EC24" i="4"/>
  <c r="EC23" i="4"/>
  <c r="EC22" i="4"/>
  <c r="EC21" i="4"/>
  <c r="EC20" i="4"/>
  <c r="EC19" i="4"/>
  <c r="EC18" i="4"/>
  <c r="EC17" i="4"/>
  <c r="EC16" i="4"/>
  <c r="EC15" i="4"/>
  <c r="EC14" i="4"/>
  <c r="EC13" i="4"/>
  <c r="EC12" i="4"/>
  <c r="EC11" i="4"/>
  <c r="EC10" i="4"/>
  <c r="EC9" i="4"/>
  <c r="EC8" i="4"/>
  <c r="EC7" i="4"/>
  <c r="EC6" i="4"/>
  <c r="EB40" i="4"/>
  <c r="EB39" i="4"/>
  <c r="EB38" i="4"/>
  <c r="EB37" i="4"/>
  <c r="EB36" i="4"/>
  <c r="EB35" i="4"/>
  <c r="EB34" i="4"/>
  <c r="EB33" i="4"/>
  <c r="EB32" i="4"/>
  <c r="EB31" i="4"/>
  <c r="EB30" i="4"/>
  <c r="EB29" i="4"/>
  <c r="EB28" i="4"/>
  <c r="EB27" i="4"/>
  <c r="EB26" i="4"/>
  <c r="EB25" i="4"/>
  <c r="EB24" i="4"/>
  <c r="EB23" i="4"/>
  <c r="EB22" i="4"/>
  <c r="EB21" i="4"/>
  <c r="EB20" i="4"/>
  <c r="EB19" i="4"/>
  <c r="EB18" i="4"/>
  <c r="EB17" i="4"/>
  <c r="EB16" i="4"/>
  <c r="EB15" i="4"/>
  <c r="EB14" i="4"/>
  <c r="EB13" i="4"/>
  <c r="EB12" i="4"/>
  <c r="EB11" i="4"/>
  <c r="EB10" i="4"/>
  <c r="EB9" i="4"/>
  <c r="EB8" i="4"/>
  <c r="EB7" i="4"/>
  <c r="EB6" i="4"/>
  <c r="EA40" i="4"/>
  <c r="EA39" i="4"/>
  <c r="EA38" i="4"/>
  <c r="EA37" i="4"/>
  <c r="EA36" i="4"/>
  <c r="EA35" i="4"/>
  <c r="EA34" i="4"/>
  <c r="EA33" i="4"/>
  <c r="EA32" i="4"/>
  <c r="EA31" i="4"/>
  <c r="EA30" i="4"/>
  <c r="EA29" i="4"/>
  <c r="EA28" i="4"/>
  <c r="EA27" i="4"/>
  <c r="EA26" i="4"/>
  <c r="EA25" i="4"/>
  <c r="EA24" i="4"/>
  <c r="EA23" i="4"/>
  <c r="EA22" i="4"/>
  <c r="EA21" i="4"/>
  <c r="EA20" i="4"/>
  <c r="EA19" i="4"/>
  <c r="EA18" i="4"/>
  <c r="EA17" i="4"/>
  <c r="EA16" i="4"/>
  <c r="EA15" i="4"/>
  <c r="EA14" i="4"/>
  <c r="EA13" i="4"/>
  <c r="EA12" i="4"/>
  <c r="EA11" i="4"/>
  <c r="EA10" i="4"/>
  <c r="EA9" i="4"/>
  <c r="EA8" i="4"/>
  <c r="EA7" i="4"/>
  <c r="EA6"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Y40" i="4"/>
  <c r="DY39" i="4"/>
  <c r="DY38" i="4"/>
  <c r="DY37" i="4"/>
  <c r="DY36" i="4"/>
  <c r="DY35" i="4"/>
  <c r="DY34" i="4"/>
  <c r="DY33" i="4"/>
  <c r="DY32" i="4"/>
  <c r="DY31" i="4"/>
  <c r="DY30" i="4"/>
  <c r="DY29" i="4"/>
  <c r="DY28" i="4"/>
  <c r="DY27" i="4"/>
  <c r="DY26" i="4"/>
  <c r="DY25" i="4"/>
  <c r="DY24" i="4"/>
  <c r="DY23" i="4"/>
  <c r="DY22" i="4"/>
  <c r="DY21" i="4"/>
  <c r="DY20" i="4"/>
  <c r="DY19" i="4"/>
  <c r="DY18" i="4"/>
  <c r="DY17" i="4"/>
  <c r="DY16" i="4"/>
  <c r="DY15" i="4"/>
  <c r="DY14" i="4"/>
  <c r="DY13" i="4"/>
  <c r="DY12" i="4"/>
  <c r="DY11" i="4"/>
  <c r="DY10" i="4"/>
  <c r="DY9" i="4"/>
  <c r="DY8" i="4"/>
  <c r="DY7" i="4"/>
  <c r="DY6" i="4"/>
  <c r="DX40" i="4"/>
  <c r="DX39" i="4"/>
  <c r="DX38" i="4"/>
  <c r="DX37" i="4"/>
  <c r="DX36" i="4"/>
  <c r="DX35" i="4"/>
  <c r="DX34" i="4"/>
  <c r="DX33" i="4"/>
  <c r="DX32" i="4"/>
  <c r="DX31" i="4"/>
  <c r="DX30" i="4"/>
  <c r="DX29" i="4"/>
  <c r="DX28" i="4"/>
  <c r="DX27" i="4"/>
  <c r="DX26" i="4"/>
  <c r="DX25" i="4"/>
  <c r="DX24" i="4"/>
  <c r="DX23" i="4"/>
  <c r="DX22" i="4"/>
  <c r="DX21" i="4"/>
  <c r="DX20" i="4"/>
  <c r="DX19" i="4"/>
  <c r="DX18" i="4"/>
  <c r="DX17" i="4"/>
  <c r="DX16" i="4"/>
  <c r="DX15" i="4"/>
  <c r="DX14" i="4"/>
  <c r="DX13" i="4"/>
  <c r="DX12" i="4"/>
  <c r="DX11" i="4"/>
  <c r="DX10" i="4"/>
  <c r="DX9" i="4"/>
  <c r="DX8" i="4"/>
  <c r="DX7" i="4"/>
  <c r="DX6" i="4"/>
  <c r="DW40" i="4"/>
  <c r="DW39" i="4"/>
  <c r="DW38" i="4"/>
  <c r="DW37" i="4"/>
  <c r="DW36" i="4"/>
  <c r="DW35" i="4"/>
  <c r="DW34" i="4"/>
  <c r="DW33" i="4"/>
  <c r="DW32" i="4"/>
  <c r="DW31" i="4"/>
  <c r="DW30" i="4"/>
  <c r="DW29" i="4"/>
  <c r="DW28" i="4"/>
  <c r="DW27" i="4"/>
  <c r="DW26" i="4"/>
  <c r="DW25" i="4"/>
  <c r="DW24" i="4"/>
  <c r="DW23" i="4"/>
  <c r="DW22" i="4"/>
  <c r="DW21" i="4"/>
  <c r="DW20" i="4"/>
  <c r="DW19" i="4"/>
  <c r="DW18" i="4"/>
  <c r="DW17" i="4"/>
  <c r="DW16" i="4"/>
  <c r="DW15" i="4"/>
  <c r="DW14" i="4"/>
  <c r="DW13" i="4"/>
  <c r="DW12" i="4"/>
  <c r="DW11" i="4"/>
  <c r="DW10" i="4"/>
  <c r="DW9" i="4"/>
  <c r="DW8" i="4"/>
  <c r="DW7" i="4"/>
  <c r="DW6" i="4"/>
  <c r="DV40" i="4"/>
  <c r="DV39" i="4"/>
  <c r="DV38" i="4"/>
  <c r="DV37" i="4"/>
  <c r="DV36" i="4"/>
  <c r="DV35" i="4"/>
  <c r="DV34" i="4"/>
  <c r="DV33" i="4"/>
  <c r="DV32" i="4"/>
  <c r="DV31" i="4"/>
  <c r="DV30" i="4"/>
  <c r="DV29" i="4"/>
  <c r="DV28" i="4"/>
  <c r="DV27" i="4"/>
  <c r="DV26" i="4"/>
  <c r="DV25" i="4"/>
  <c r="DV24" i="4"/>
  <c r="DV23" i="4"/>
  <c r="DV22" i="4"/>
  <c r="DV21" i="4"/>
  <c r="DV20" i="4"/>
  <c r="DV19" i="4"/>
  <c r="DV18" i="4"/>
  <c r="DV17" i="4"/>
  <c r="DV16" i="4"/>
  <c r="DV15" i="4"/>
  <c r="DV14" i="4"/>
  <c r="DV13" i="4"/>
  <c r="DV12" i="4"/>
  <c r="DV11" i="4"/>
  <c r="DV10" i="4"/>
  <c r="DV9" i="4"/>
  <c r="DV8" i="4"/>
  <c r="DV7" i="4"/>
  <c r="DV6" i="4"/>
  <c r="DU40" i="4"/>
  <c r="DU39" i="4"/>
  <c r="DU38" i="4"/>
  <c r="DU37" i="4"/>
  <c r="DU36" i="4"/>
  <c r="DU35" i="4"/>
  <c r="DU34" i="4"/>
  <c r="DU33" i="4"/>
  <c r="DU32" i="4"/>
  <c r="DU31" i="4"/>
  <c r="DU30" i="4"/>
  <c r="DU29" i="4"/>
  <c r="DU28" i="4"/>
  <c r="DU27" i="4"/>
  <c r="DU26" i="4"/>
  <c r="DU25" i="4"/>
  <c r="DU24" i="4"/>
  <c r="DU23" i="4"/>
  <c r="DU22" i="4"/>
  <c r="DU21" i="4"/>
  <c r="DU20" i="4"/>
  <c r="DU19" i="4"/>
  <c r="DU18" i="4"/>
  <c r="DU17" i="4"/>
  <c r="DU16" i="4"/>
  <c r="DU15" i="4"/>
  <c r="DU14" i="4"/>
  <c r="DU13" i="4"/>
  <c r="DU12" i="4"/>
  <c r="DU11" i="4"/>
  <c r="DU10" i="4"/>
  <c r="DU9" i="4"/>
  <c r="DU8" i="4"/>
  <c r="DU7" i="4"/>
  <c r="DU6" i="4"/>
  <c r="DT40" i="4"/>
  <c r="DT39" i="4"/>
  <c r="DT38" i="4"/>
  <c r="DT37" i="4"/>
  <c r="DT36" i="4"/>
  <c r="DT35" i="4"/>
  <c r="DT34" i="4"/>
  <c r="DT33" i="4"/>
  <c r="DT32" i="4"/>
  <c r="DT31" i="4"/>
  <c r="DT30" i="4"/>
  <c r="DT29" i="4"/>
  <c r="DT28" i="4"/>
  <c r="DT27" i="4"/>
  <c r="DT26" i="4"/>
  <c r="DT25" i="4"/>
  <c r="DT24" i="4"/>
  <c r="DT23" i="4"/>
  <c r="DT22" i="4"/>
  <c r="DT21" i="4"/>
  <c r="DT20" i="4"/>
  <c r="DT19" i="4"/>
  <c r="DT18" i="4"/>
  <c r="DT17" i="4"/>
  <c r="DT16" i="4"/>
  <c r="DT15" i="4"/>
  <c r="DT14" i="4"/>
  <c r="DT13" i="4"/>
  <c r="DT12" i="4"/>
  <c r="DT11" i="4"/>
  <c r="DT10" i="4"/>
  <c r="DT9" i="4"/>
  <c r="DT8" i="4"/>
  <c r="DT7" i="4"/>
  <c r="DT6" i="4"/>
  <c r="DS40" i="4"/>
  <c r="DS39" i="4"/>
  <c r="DS38" i="4"/>
  <c r="DS37" i="4"/>
  <c r="DS36" i="4"/>
  <c r="DS35" i="4"/>
  <c r="DS34" i="4"/>
  <c r="DS33" i="4"/>
  <c r="DS32" i="4"/>
  <c r="DS31" i="4"/>
  <c r="DS30" i="4"/>
  <c r="DS29" i="4"/>
  <c r="DS28" i="4"/>
  <c r="DS27" i="4"/>
  <c r="DS26" i="4"/>
  <c r="DS25" i="4"/>
  <c r="DS24" i="4"/>
  <c r="DS23" i="4"/>
  <c r="DS22" i="4"/>
  <c r="DS21" i="4"/>
  <c r="DS20" i="4"/>
  <c r="DS19" i="4"/>
  <c r="DS18" i="4"/>
  <c r="DS17" i="4"/>
  <c r="DS16" i="4"/>
  <c r="DS15" i="4"/>
  <c r="DS14" i="4"/>
  <c r="DS13" i="4"/>
  <c r="DS12" i="4"/>
  <c r="DS11" i="4"/>
  <c r="DS10" i="4"/>
  <c r="DS9" i="4"/>
  <c r="DS8" i="4"/>
  <c r="DS7" i="4"/>
  <c r="DS6" i="4"/>
  <c r="DR40" i="4"/>
  <c r="DR39" i="4"/>
  <c r="DR38" i="4"/>
  <c r="DR37" i="4"/>
  <c r="DR36" i="4"/>
  <c r="DR35" i="4"/>
  <c r="DR34" i="4"/>
  <c r="DR33" i="4"/>
  <c r="DR32" i="4"/>
  <c r="DR31" i="4"/>
  <c r="DR30" i="4"/>
  <c r="DR29" i="4"/>
  <c r="DR28" i="4"/>
  <c r="DR27" i="4"/>
  <c r="DR26" i="4"/>
  <c r="DR25" i="4"/>
  <c r="DR24" i="4"/>
  <c r="DR23" i="4"/>
  <c r="DR22" i="4"/>
  <c r="DR21" i="4"/>
  <c r="DR20" i="4"/>
  <c r="DR19" i="4"/>
  <c r="DR18" i="4"/>
  <c r="DR17" i="4"/>
  <c r="DR16" i="4"/>
  <c r="DR15" i="4"/>
  <c r="DR14" i="4"/>
  <c r="DR13" i="4"/>
  <c r="DR12" i="4"/>
  <c r="DR11" i="4"/>
  <c r="DR10" i="4"/>
  <c r="DR9" i="4"/>
  <c r="DR8" i="4"/>
  <c r="DR7" i="4"/>
  <c r="DR6" i="4"/>
  <c r="DQ40" i="4"/>
  <c r="DQ39" i="4"/>
  <c r="DQ38" i="4"/>
  <c r="DQ37" i="4"/>
  <c r="DQ36" i="4"/>
  <c r="DQ35" i="4"/>
  <c r="DQ34" i="4"/>
  <c r="DQ33" i="4"/>
  <c r="DQ32" i="4"/>
  <c r="DQ31" i="4"/>
  <c r="DQ30" i="4"/>
  <c r="DQ29" i="4"/>
  <c r="DQ28" i="4"/>
  <c r="DQ27" i="4"/>
  <c r="DQ26" i="4"/>
  <c r="DQ25" i="4"/>
  <c r="DQ24" i="4"/>
  <c r="DQ23" i="4"/>
  <c r="DQ22" i="4"/>
  <c r="DQ21" i="4"/>
  <c r="DQ20" i="4"/>
  <c r="DQ19" i="4"/>
  <c r="DQ18" i="4"/>
  <c r="DQ17" i="4"/>
  <c r="DQ16" i="4"/>
  <c r="DQ15" i="4"/>
  <c r="DQ14" i="4"/>
  <c r="DQ13" i="4"/>
  <c r="DQ12" i="4"/>
  <c r="DQ11" i="4"/>
  <c r="DQ10" i="4"/>
  <c r="DQ9" i="4"/>
  <c r="DQ8" i="4"/>
  <c r="DQ7" i="4"/>
  <c r="DQ6" i="4"/>
  <c r="DP40" i="4"/>
  <c r="DP39" i="4"/>
  <c r="DP38" i="4"/>
  <c r="DP37" i="4"/>
  <c r="DP36" i="4"/>
  <c r="DP35" i="4"/>
  <c r="DP34" i="4"/>
  <c r="DP33" i="4"/>
  <c r="DP32" i="4"/>
  <c r="DP31" i="4"/>
  <c r="DP30" i="4"/>
  <c r="DP29" i="4"/>
  <c r="DP28" i="4"/>
  <c r="DP27" i="4"/>
  <c r="DP26" i="4"/>
  <c r="DP25" i="4"/>
  <c r="DP24" i="4"/>
  <c r="DP23" i="4"/>
  <c r="DP22" i="4"/>
  <c r="DP21" i="4"/>
  <c r="DP20" i="4"/>
  <c r="DP19" i="4"/>
  <c r="DP18" i="4"/>
  <c r="DP17" i="4"/>
  <c r="DP16" i="4"/>
  <c r="DP15" i="4"/>
  <c r="DP14" i="4"/>
  <c r="DP13" i="4"/>
  <c r="DP12" i="4"/>
  <c r="DP11" i="4"/>
  <c r="DP10" i="4"/>
  <c r="DP9" i="4"/>
  <c r="DP8" i="4"/>
  <c r="DP7" i="4"/>
  <c r="DP6" i="4"/>
  <c r="DO40" i="4"/>
  <c r="DO39" i="4"/>
  <c r="DO38" i="4"/>
  <c r="DO37" i="4"/>
  <c r="DO36" i="4"/>
  <c r="DO35" i="4"/>
  <c r="DO34" i="4"/>
  <c r="DO33" i="4"/>
  <c r="DO32" i="4"/>
  <c r="DO31" i="4"/>
  <c r="DO30" i="4"/>
  <c r="DO29" i="4"/>
  <c r="DO28" i="4"/>
  <c r="DO27" i="4"/>
  <c r="DO26" i="4"/>
  <c r="DO25" i="4"/>
  <c r="DO24" i="4"/>
  <c r="DO23" i="4"/>
  <c r="DO22" i="4"/>
  <c r="DO21" i="4"/>
  <c r="DO20" i="4"/>
  <c r="DO19" i="4"/>
  <c r="DO18" i="4"/>
  <c r="DO17" i="4"/>
  <c r="DO16" i="4"/>
  <c r="DO15" i="4"/>
  <c r="DO14" i="4"/>
  <c r="DO13" i="4"/>
  <c r="DO12" i="4"/>
  <c r="DO11" i="4"/>
  <c r="DO10" i="4"/>
  <c r="DO9" i="4"/>
  <c r="DO8" i="4"/>
  <c r="DO7" i="4"/>
  <c r="DO6" i="4"/>
  <c r="DN40" i="4"/>
  <c r="DN39" i="4"/>
  <c r="DN38" i="4"/>
  <c r="DN37" i="4"/>
  <c r="DN36" i="4"/>
  <c r="DN35" i="4"/>
  <c r="DN34" i="4"/>
  <c r="DN33" i="4"/>
  <c r="DN32" i="4"/>
  <c r="DN31" i="4"/>
  <c r="DN30" i="4"/>
  <c r="DN29" i="4"/>
  <c r="DN28" i="4"/>
  <c r="DN27" i="4"/>
  <c r="DN26" i="4"/>
  <c r="DN25" i="4"/>
  <c r="DN24" i="4"/>
  <c r="DN23" i="4"/>
  <c r="DN22" i="4"/>
  <c r="DN21" i="4"/>
  <c r="DN20" i="4"/>
  <c r="DN19" i="4"/>
  <c r="DN18" i="4"/>
  <c r="DN17" i="4"/>
  <c r="DN16" i="4"/>
  <c r="DN15" i="4"/>
  <c r="DN14" i="4"/>
  <c r="DN13" i="4"/>
  <c r="DN12" i="4"/>
  <c r="DN11" i="4"/>
  <c r="DN10" i="4"/>
  <c r="DN9" i="4"/>
  <c r="DN8" i="4"/>
  <c r="DN7" i="4"/>
  <c r="DN6" i="4"/>
  <c r="DM40" i="4"/>
  <c r="DM39" i="4"/>
  <c r="DM38" i="4"/>
  <c r="DM37" i="4"/>
  <c r="DM36" i="4"/>
  <c r="DM35" i="4"/>
  <c r="DM34" i="4"/>
  <c r="DM33" i="4"/>
  <c r="DM32" i="4"/>
  <c r="DM31" i="4"/>
  <c r="DM30" i="4"/>
  <c r="DM29" i="4"/>
  <c r="DM28" i="4"/>
  <c r="DM27" i="4"/>
  <c r="DM26" i="4"/>
  <c r="DM25" i="4"/>
  <c r="DM24" i="4"/>
  <c r="DM23" i="4"/>
  <c r="DM22" i="4"/>
  <c r="DM21" i="4"/>
  <c r="DM20" i="4"/>
  <c r="DM19" i="4"/>
  <c r="DM18" i="4"/>
  <c r="DM17" i="4"/>
  <c r="DM16" i="4"/>
  <c r="DM15" i="4"/>
  <c r="DM14" i="4"/>
  <c r="DM13" i="4"/>
  <c r="DM12" i="4"/>
  <c r="DM11" i="4"/>
  <c r="DM10" i="4"/>
  <c r="DM9" i="4"/>
  <c r="DM8" i="4"/>
  <c r="DM7" i="4"/>
  <c r="DM6" i="4"/>
  <c r="DL40" i="4"/>
  <c r="DL39" i="4"/>
  <c r="DL38" i="4"/>
  <c r="DL37" i="4"/>
  <c r="DL36" i="4"/>
  <c r="DL35" i="4"/>
  <c r="DL34" i="4"/>
  <c r="DL33" i="4"/>
  <c r="DL32" i="4"/>
  <c r="DL31" i="4"/>
  <c r="DL30" i="4"/>
  <c r="DL29" i="4"/>
  <c r="DL28" i="4"/>
  <c r="DL27" i="4"/>
  <c r="DL26" i="4"/>
  <c r="DL25" i="4"/>
  <c r="DL24" i="4"/>
  <c r="DL23" i="4"/>
  <c r="DL22" i="4"/>
  <c r="DL21" i="4"/>
  <c r="DL20" i="4"/>
  <c r="DL19" i="4"/>
  <c r="DL18" i="4"/>
  <c r="DL17" i="4"/>
  <c r="DL16" i="4"/>
  <c r="DL15" i="4"/>
  <c r="DL14" i="4"/>
  <c r="DL13" i="4"/>
  <c r="DL12" i="4"/>
  <c r="DL11" i="4"/>
  <c r="DL10" i="4"/>
  <c r="DL9" i="4"/>
  <c r="DL8" i="4"/>
  <c r="DL7" i="4"/>
  <c r="DL6" i="4"/>
  <c r="DK40" i="4"/>
  <c r="DK39" i="4"/>
  <c r="DK38" i="4"/>
  <c r="DK37" i="4"/>
  <c r="DK36" i="4"/>
  <c r="DK35" i="4"/>
  <c r="DK34" i="4"/>
  <c r="DK33" i="4"/>
  <c r="DK32" i="4"/>
  <c r="DK31" i="4"/>
  <c r="DK30" i="4"/>
  <c r="DK29" i="4"/>
  <c r="DK28" i="4"/>
  <c r="DK27" i="4"/>
  <c r="DK26" i="4"/>
  <c r="DK25" i="4"/>
  <c r="DK24" i="4"/>
  <c r="DK23" i="4"/>
  <c r="DK22" i="4"/>
  <c r="DK21" i="4"/>
  <c r="DK20" i="4"/>
  <c r="DK19" i="4"/>
  <c r="DK18" i="4"/>
  <c r="DK17" i="4"/>
  <c r="DK16" i="4"/>
  <c r="DK15" i="4"/>
  <c r="DK14" i="4"/>
  <c r="DK13" i="4"/>
  <c r="DK12" i="4"/>
  <c r="DK11" i="4"/>
  <c r="DK10" i="4"/>
  <c r="DK9" i="4"/>
  <c r="DK8" i="4"/>
  <c r="DK7" i="4"/>
  <c r="DK6" i="4"/>
  <c r="CQ6" i="4"/>
  <c r="CQ7" i="4"/>
  <c r="CQ8" i="4"/>
  <c r="CQ9" i="4"/>
  <c r="CQ10" i="4"/>
  <c r="CQ11" i="4"/>
  <c r="CQ12" i="4"/>
  <c r="CQ13" i="4"/>
  <c r="CQ14" i="4"/>
  <c r="CQ15" i="4"/>
  <c r="CQ16" i="4"/>
  <c r="CQ17" i="4"/>
  <c r="CQ18" i="4"/>
  <c r="CQ19" i="4"/>
  <c r="CQ20" i="4"/>
  <c r="CQ21" i="4"/>
  <c r="CQ22" i="4"/>
  <c r="CQ23" i="4"/>
  <c r="CQ24" i="4"/>
  <c r="CQ25" i="4"/>
  <c r="CQ26" i="4"/>
  <c r="CQ27" i="4"/>
  <c r="CQ28" i="4"/>
  <c r="CQ29" i="4"/>
  <c r="CQ30" i="4"/>
  <c r="CQ31" i="4"/>
  <c r="CQ32" i="4"/>
  <c r="CQ33" i="4"/>
  <c r="CQ34" i="4"/>
  <c r="CQ35" i="4"/>
  <c r="CQ36" i="4"/>
  <c r="CQ37" i="4"/>
  <c r="CQ38" i="4"/>
  <c r="CQ39" i="4"/>
  <c r="CQ40" i="4"/>
  <c r="CR6" i="4"/>
  <c r="CR7" i="4"/>
  <c r="CR8" i="4"/>
  <c r="CR9" i="4"/>
  <c r="CR10" i="4"/>
  <c r="CR11" i="4"/>
  <c r="CR12" i="4"/>
  <c r="CR13" i="4"/>
  <c r="CR14" i="4"/>
  <c r="CR15" i="4"/>
  <c r="CR16" i="4"/>
  <c r="CR17" i="4"/>
  <c r="CR18" i="4"/>
  <c r="CR19" i="4"/>
  <c r="CR20" i="4"/>
  <c r="CR21" i="4"/>
  <c r="CR22" i="4"/>
  <c r="CR23" i="4"/>
  <c r="CR24" i="4"/>
  <c r="CR25" i="4"/>
  <c r="CR26" i="4"/>
  <c r="CR27" i="4"/>
  <c r="CR28" i="4"/>
  <c r="CR29" i="4"/>
  <c r="CR30" i="4"/>
  <c r="CR31" i="4"/>
  <c r="CR32" i="4"/>
  <c r="CR33" i="4"/>
  <c r="CR34" i="4"/>
  <c r="CR35" i="4"/>
  <c r="CR36" i="4"/>
  <c r="CR37" i="4"/>
  <c r="CR38" i="4"/>
  <c r="CR39" i="4"/>
  <c r="CR40" i="4"/>
  <c r="CS6" i="4"/>
  <c r="CS7" i="4"/>
  <c r="CS8" i="4"/>
  <c r="CS9" i="4"/>
  <c r="CS10" i="4"/>
  <c r="CS11" i="4"/>
  <c r="CS12" i="4"/>
  <c r="CS13" i="4"/>
  <c r="CS14" i="4"/>
  <c r="CS15" i="4"/>
  <c r="CS16" i="4"/>
  <c r="CS17" i="4"/>
  <c r="CS18" i="4"/>
  <c r="CS19" i="4"/>
  <c r="CS20" i="4"/>
  <c r="CS21" i="4"/>
  <c r="CS22" i="4"/>
  <c r="CS23" i="4"/>
  <c r="CS24" i="4"/>
  <c r="CS25" i="4"/>
  <c r="CS26" i="4"/>
  <c r="CS27" i="4"/>
  <c r="CS28" i="4"/>
  <c r="CS29" i="4"/>
  <c r="CS30" i="4"/>
  <c r="CS31" i="4"/>
  <c r="CS32" i="4"/>
  <c r="CS33" i="4"/>
  <c r="CS34" i="4"/>
  <c r="CS35" i="4"/>
  <c r="CS36" i="4"/>
  <c r="CS37" i="4"/>
  <c r="CS38" i="4"/>
  <c r="CS39" i="4"/>
  <c r="CS40" i="4"/>
  <c r="CT6" i="4"/>
  <c r="CT7" i="4"/>
  <c r="CT8" i="4"/>
  <c r="CT9" i="4"/>
  <c r="CT10" i="4"/>
  <c r="CT11" i="4"/>
  <c r="CT12" i="4"/>
  <c r="CT13" i="4"/>
  <c r="CT14" i="4"/>
  <c r="CT15" i="4"/>
  <c r="CT16" i="4"/>
  <c r="CT17" i="4"/>
  <c r="CT18" i="4"/>
  <c r="CT19" i="4"/>
  <c r="CT20" i="4"/>
  <c r="CT21" i="4"/>
  <c r="CT22" i="4"/>
  <c r="CT23" i="4"/>
  <c r="CT24" i="4"/>
  <c r="CT25" i="4"/>
  <c r="CT26" i="4"/>
  <c r="CT27" i="4"/>
  <c r="CT28" i="4"/>
  <c r="CT29" i="4"/>
  <c r="CT30" i="4"/>
  <c r="CT31" i="4"/>
  <c r="CT32" i="4"/>
  <c r="CT33" i="4"/>
  <c r="CT34" i="4"/>
  <c r="CT35" i="4"/>
  <c r="CT36" i="4"/>
  <c r="CT37" i="4"/>
  <c r="CT38" i="4"/>
  <c r="CT39" i="4"/>
  <c r="CT40" i="4"/>
  <c r="CU6" i="4"/>
  <c r="CU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V6" i="4"/>
  <c r="CV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W6" i="4"/>
  <c r="CW7" i="4"/>
  <c r="CW8" i="4"/>
  <c r="CW9" i="4"/>
  <c r="CW10" i="4"/>
  <c r="CW11" i="4"/>
  <c r="CW12" i="4"/>
  <c r="CW13" i="4"/>
  <c r="CW14" i="4"/>
  <c r="CW15" i="4"/>
  <c r="CW16" i="4"/>
  <c r="CW17" i="4"/>
  <c r="CW18" i="4"/>
  <c r="CW19" i="4"/>
  <c r="CW20" i="4"/>
  <c r="CW21" i="4"/>
  <c r="CW22" i="4"/>
  <c r="CW23" i="4"/>
  <c r="CW24" i="4"/>
  <c r="CW25" i="4"/>
  <c r="CW26" i="4"/>
  <c r="CW27" i="4"/>
  <c r="CW28" i="4"/>
  <c r="CW29" i="4"/>
  <c r="CW30" i="4"/>
  <c r="CW31" i="4"/>
  <c r="CW32" i="4"/>
  <c r="CW33" i="4"/>
  <c r="CW34" i="4"/>
  <c r="CW35" i="4"/>
  <c r="CW36" i="4"/>
  <c r="CW37" i="4"/>
  <c r="CW38" i="4"/>
  <c r="CW39" i="4"/>
  <c r="CW40" i="4"/>
  <c r="CX6" i="4"/>
  <c r="CX7" i="4"/>
  <c r="CX8" i="4"/>
  <c r="CX9" i="4"/>
  <c r="CX10" i="4"/>
  <c r="CX11" i="4"/>
  <c r="CX12" i="4"/>
  <c r="CX13" i="4"/>
  <c r="CX14" i="4"/>
  <c r="CX15" i="4"/>
  <c r="CX16" i="4"/>
  <c r="CX17" i="4"/>
  <c r="CX18" i="4"/>
  <c r="CX19" i="4"/>
  <c r="CX20" i="4"/>
  <c r="CX21" i="4"/>
  <c r="CX22" i="4"/>
  <c r="CX23" i="4"/>
  <c r="CX24" i="4"/>
  <c r="CX25" i="4"/>
  <c r="CX26" i="4"/>
  <c r="CX27" i="4"/>
  <c r="CX28" i="4"/>
  <c r="CX29" i="4"/>
  <c r="CX30" i="4"/>
  <c r="CX31" i="4"/>
  <c r="CX32" i="4"/>
  <c r="CX33" i="4"/>
  <c r="CX34" i="4"/>
  <c r="CX35" i="4"/>
  <c r="CX36" i="4"/>
  <c r="CX37" i="4"/>
  <c r="CX38" i="4"/>
  <c r="CX39" i="4"/>
  <c r="CX40" i="4"/>
  <c r="CY6" i="4"/>
  <c r="CY7" i="4"/>
  <c r="CY8" i="4"/>
  <c r="CY9" i="4"/>
  <c r="CY10" i="4"/>
  <c r="CY11" i="4"/>
  <c r="CY12" i="4"/>
  <c r="CY13" i="4"/>
  <c r="CY14" i="4"/>
  <c r="CY15" i="4"/>
  <c r="CY16" i="4"/>
  <c r="CY17" i="4"/>
  <c r="CY18" i="4"/>
  <c r="CY19" i="4"/>
  <c r="CY20" i="4"/>
  <c r="CY21" i="4"/>
  <c r="CY22" i="4"/>
  <c r="CY23" i="4"/>
  <c r="CY24" i="4"/>
  <c r="CY25" i="4"/>
  <c r="CY26" i="4"/>
  <c r="CY27" i="4"/>
  <c r="CY28" i="4"/>
  <c r="CY29" i="4"/>
  <c r="CY30" i="4"/>
  <c r="CY31" i="4"/>
  <c r="CY32" i="4"/>
  <c r="CY33" i="4"/>
  <c r="CY34" i="4"/>
  <c r="CY35" i="4"/>
  <c r="CY36" i="4"/>
  <c r="CY37" i="4"/>
  <c r="CY38" i="4"/>
  <c r="CY39" i="4"/>
  <c r="CY40" i="4"/>
  <c r="CZ6" i="4"/>
  <c r="CZ7" i="4"/>
  <c r="CZ8" i="4"/>
  <c r="CZ9" i="4"/>
  <c r="CZ10" i="4"/>
  <c r="CZ11" i="4"/>
  <c r="CZ12" i="4"/>
  <c r="CZ13" i="4"/>
  <c r="CZ14" i="4"/>
  <c r="CZ15" i="4"/>
  <c r="CZ16" i="4"/>
  <c r="CZ17" i="4"/>
  <c r="CZ18" i="4"/>
  <c r="CZ19" i="4"/>
  <c r="CZ20" i="4"/>
  <c r="CZ21" i="4"/>
  <c r="CZ22" i="4"/>
  <c r="CZ23" i="4"/>
  <c r="CZ24" i="4"/>
  <c r="CZ25" i="4"/>
  <c r="CZ26" i="4"/>
  <c r="CZ27" i="4"/>
  <c r="CZ28" i="4"/>
  <c r="CZ29" i="4"/>
  <c r="CZ30" i="4"/>
  <c r="CZ31" i="4"/>
  <c r="CZ32" i="4"/>
  <c r="CZ33" i="4"/>
  <c r="CZ34" i="4"/>
  <c r="CZ35" i="4"/>
  <c r="CZ36" i="4"/>
  <c r="CZ37" i="4"/>
  <c r="CZ38" i="4"/>
  <c r="CZ39" i="4"/>
  <c r="CZ40" i="4"/>
  <c r="DA6" i="4"/>
  <c r="DA7" i="4"/>
  <c r="DA8" i="4"/>
  <c r="DA9" i="4"/>
  <c r="DA10" i="4"/>
  <c r="DA11" i="4"/>
  <c r="DA12" i="4"/>
  <c r="DA13" i="4"/>
  <c r="DA14" i="4"/>
  <c r="DA15" i="4"/>
  <c r="DA16" i="4"/>
  <c r="DA17" i="4"/>
  <c r="DA18" i="4"/>
  <c r="DA19" i="4"/>
  <c r="DA20" i="4"/>
  <c r="DA21" i="4"/>
  <c r="DA22" i="4"/>
  <c r="DA23" i="4"/>
  <c r="DA24" i="4"/>
  <c r="DA25" i="4"/>
  <c r="DA26" i="4"/>
  <c r="DA27" i="4"/>
  <c r="DA28" i="4"/>
  <c r="DA29" i="4"/>
  <c r="DA30" i="4"/>
  <c r="DA31" i="4"/>
  <c r="DA32" i="4"/>
  <c r="DA33" i="4"/>
  <c r="DA34" i="4"/>
  <c r="DA35" i="4"/>
  <c r="DA36" i="4"/>
  <c r="DA37" i="4"/>
  <c r="DA38" i="4"/>
  <c r="DA39" i="4"/>
  <c r="DA40" i="4"/>
  <c r="DB6" i="4"/>
  <c r="DB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C6" i="4"/>
  <c r="DC7" i="4"/>
  <c r="DC8" i="4"/>
  <c r="DC9" i="4"/>
  <c r="DC10" i="4"/>
  <c r="DC11" i="4"/>
  <c r="DC12" i="4"/>
  <c r="DC13" i="4"/>
  <c r="DC14" i="4"/>
  <c r="DC15" i="4"/>
  <c r="DC16" i="4"/>
  <c r="DC17" i="4"/>
  <c r="DC18" i="4"/>
  <c r="DC19" i="4"/>
  <c r="DC20" i="4"/>
  <c r="DC21" i="4"/>
  <c r="DC22" i="4"/>
  <c r="DC23" i="4"/>
  <c r="DC24" i="4"/>
  <c r="DC25" i="4"/>
  <c r="DC26" i="4"/>
  <c r="DC27" i="4"/>
  <c r="DC28" i="4"/>
  <c r="DC29" i="4"/>
  <c r="DC30" i="4"/>
  <c r="DC31" i="4"/>
  <c r="DC32" i="4"/>
  <c r="DC33" i="4"/>
  <c r="DC34" i="4"/>
  <c r="DC35" i="4"/>
  <c r="DC36" i="4"/>
  <c r="DC37" i="4"/>
  <c r="DC38" i="4"/>
  <c r="DC39" i="4"/>
  <c r="DC40" i="4"/>
  <c r="DD6" i="4"/>
  <c r="DD7" i="4"/>
  <c r="DD8" i="4"/>
  <c r="DD9" i="4"/>
  <c r="DD10" i="4"/>
  <c r="DD11" i="4"/>
  <c r="DD12" i="4"/>
  <c r="DD13" i="4"/>
  <c r="DD14" i="4"/>
  <c r="DD15" i="4"/>
  <c r="DD16" i="4"/>
  <c r="DD17" i="4"/>
  <c r="DD18" i="4"/>
  <c r="DD19" i="4"/>
  <c r="DD20" i="4"/>
  <c r="DD21" i="4"/>
  <c r="DD22" i="4"/>
  <c r="DD23" i="4"/>
  <c r="DD24" i="4"/>
  <c r="DD25" i="4"/>
  <c r="DD26" i="4"/>
  <c r="DD27" i="4"/>
  <c r="DD28" i="4"/>
  <c r="DD29" i="4"/>
  <c r="DD30" i="4"/>
  <c r="DD31" i="4"/>
  <c r="DD32" i="4"/>
  <c r="DD33" i="4"/>
  <c r="DD34" i="4"/>
  <c r="DD35" i="4"/>
  <c r="DD36" i="4"/>
  <c r="DD37" i="4"/>
  <c r="DD38" i="4"/>
  <c r="DD39" i="4"/>
  <c r="DD40" i="4"/>
  <c r="DE6" i="4"/>
  <c r="DE7" i="4"/>
  <c r="DE8" i="4"/>
  <c r="DE9" i="4"/>
  <c r="DE10" i="4"/>
  <c r="DE11" i="4"/>
  <c r="DE12" i="4"/>
  <c r="DE13" i="4"/>
  <c r="DE14" i="4"/>
  <c r="DE15" i="4"/>
  <c r="DE16" i="4"/>
  <c r="DE17" i="4"/>
  <c r="DE18" i="4"/>
  <c r="DE19" i="4"/>
  <c r="DE20" i="4"/>
  <c r="DE21" i="4"/>
  <c r="DE22" i="4"/>
  <c r="DE23" i="4"/>
  <c r="DE24" i="4"/>
  <c r="DE25" i="4"/>
  <c r="DE26" i="4"/>
  <c r="DE27" i="4"/>
  <c r="DE28" i="4"/>
  <c r="DE29" i="4"/>
  <c r="DE30" i="4"/>
  <c r="DE31" i="4"/>
  <c r="DE32" i="4"/>
  <c r="DE33" i="4"/>
  <c r="DE34" i="4"/>
  <c r="DE35" i="4"/>
  <c r="DE36" i="4"/>
  <c r="DE37" i="4"/>
  <c r="DE38" i="4"/>
  <c r="DE39" i="4"/>
  <c r="DE40" i="4"/>
  <c r="DF6" i="4"/>
  <c r="DF7" i="4"/>
  <c r="DF8" i="4"/>
  <c r="DF9" i="4"/>
  <c r="DF10" i="4"/>
  <c r="DF11" i="4"/>
  <c r="DF12" i="4"/>
  <c r="DF13" i="4"/>
  <c r="DF14" i="4"/>
  <c r="DF15" i="4"/>
  <c r="DF16" i="4"/>
  <c r="DF17" i="4"/>
  <c r="DF18" i="4"/>
  <c r="DF19" i="4"/>
  <c r="DF20" i="4"/>
  <c r="DF21" i="4"/>
  <c r="DF22" i="4"/>
  <c r="DF23" i="4"/>
  <c r="DF24" i="4"/>
  <c r="DF25" i="4"/>
  <c r="DF26" i="4"/>
  <c r="DF27" i="4"/>
  <c r="DF28" i="4"/>
  <c r="DF29" i="4"/>
  <c r="DF30" i="4"/>
  <c r="DF31" i="4"/>
  <c r="DF32" i="4"/>
  <c r="DF33" i="4"/>
  <c r="DF34" i="4"/>
  <c r="DF35" i="4"/>
  <c r="DF36" i="4"/>
  <c r="DF37" i="4"/>
  <c r="DF38" i="4"/>
  <c r="DF39" i="4"/>
  <c r="DF40" i="4"/>
  <c r="DG6" i="4"/>
  <c r="DG7" i="4"/>
  <c r="DG8" i="4"/>
  <c r="DG9" i="4"/>
  <c r="DG10" i="4"/>
  <c r="DG11" i="4"/>
  <c r="DG12" i="4"/>
  <c r="DG13" i="4"/>
  <c r="DG14" i="4"/>
  <c r="DG15" i="4"/>
  <c r="DG16" i="4"/>
  <c r="DG17" i="4"/>
  <c r="DG18" i="4"/>
  <c r="DG19" i="4"/>
  <c r="DG20" i="4"/>
  <c r="DG21" i="4"/>
  <c r="DG22" i="4"/>
  <c r="DG23" i="4"/>
  <c r="DG24" i="4"/>
  <c r="DG25" i="4"/>
  <c r="DG26" i="4"/>
  <c r="DG27" i="4"/>
  <c r="DG28" i="4"/>
  <c r="DG29" i="4"/>
  <c r="DG30" i="4"/>
  <c r="DG31" i="4"/>
  <c r="DG32" i="4"/>
  <c r="DG33" i="4"/>
  <c r="DG34" i="4"/>
  <c r="DG35" i="4"/>
  <c r="DG36" i="4"/>
  <c r="DG37" i="4"/>
  <c r="DG38" i="4"/>
  <c r="DG39" i="4"/>
  <c r="DG40" i="4"/>
  <c r="DH6" i="4"/>
  <c r="DH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I6" i="4"/>
  <c r="DI7" i="4"/>
  <c r="DI8" i="4"/>
  <c r="DI9" i="4"/>
  <c r="DI10" i="4"/>
  <c r="DI11" i="4"/>
  <c r="DI12" i="4"/>
  <c r="DI13" i="4"/>
  <c r="DI14" i="4"/>
  <c r="DI15" i="4"/>
  <c r="DI16" i="4"/>
  <c r="DI17" i="4"/>
  <c r="DI18" i="4"/>
  <c r="DI19" i="4"/>
  <c r="DI20" i="4"/>
  <c r="DI21" i="4"/>
  <c r="DI22" i="4"/>
  <c r="DI23" i="4"/>
  <c r="DI24" i="4"/>
  <c r="DI25" i="4"/>
  <c r="DI26" i="4"/>
  <c r="DI27" i="4"/>
  <c r="DI28" i="4"/>
  <c r="DI29" i="4"/>
  <c r="DI30" i="4"/>
  <c r="DI31" i="4"/>
  <c r="DI32" i="4"/>
  <c r="DI33" i="4"/>
  <c r="DI34" i="4"/>
  <c r="DI35" i="4"/>
  <c r="DI36" i="4"/>
  <c r="DI37" i="4"/>
  <c r="DI38" i="4"/>
  <c r="DI39" i="4"/>
  <c r="DI40" i="4"/>
  <c r="DJ6" i="4"/>
  <c r="DJ7" i="4"/>
  <c r="DJ8" i="4"/>
  <c r="DJ9" i="4"/>
  <c r="DJ10" i="4"/>
  <c r="DJ11" i="4"/>
  <c r="DJ12" i="4"/>
  <c r="DJ13" i="4"/>
  <c r="DJ14" i="4"/>
  <c r="DJ15" i="4"/>
  <c r="DJ16" i="4"/>
  <c r="DJ17" i="4"/>
  <c r="DJ18" i="4"/>
  <c r="DJ19" i="4"/>
  <c r="DJ20" i="4"/>
  <c r="DJ21" i="4"/>
  <c r="DJ22" i="4"/>
  <c r="DJ23" i="4"/>
  <c r="DJ24" i="4"/>
  <c r="DJ25" i="4"/>
  <c r="DJ26" i="4"/>
  <c r="DJ27" i="4"/>
  <c r="DJ28" i="4"/>
  <c r="DJ29" i="4"/>
  <c r="DJ30" i="4"/>
  <c r="DJ31" i="4"/>
  <c r="DJ32" i="4"/>
  <c r="DJ33" i="4"/>
  <c r="DJ34" i="4"/>
  <c r="DJ35" i="4"/>
  <c r="DJ36" i="4"/>
  <c r="DJ37" i="4"/>
  <c r="DJ38" i="4"/>
  <c r="DJ39" i="4"/>
  <c r="DJ40" i="4"/>
  <c r="CP6" i="4"/>
  <c r="CP7" i="4"/>
  <c r="CP8" i="4"/>
  <c r="CP9" i="4"/>
  <c r="CP10" i="4"/>
  <c r="CP11" i="4"/>
  <c r="CP12" i="4"/>
  <c r="CP13" i="4"/>
  <c r="CP14" i="4"/>
  <c r="CP15" i="4"/>
  <c r="CP16" i="4"/>
  <c r="CP17" i="4"/>
  <c r="CP18" i="4"/>
  <c r="CP19" i="4"/>
  <c r="CP20" i="4"/>
  <c r="CP21" i="4"/>
  <c r="CP22" i="4"/>
  <c r="CP23" i="4"/>
  <c r="CP24" i="4"/>
  <c r="CP25" i="4"/>
  <c r="CP26" i="4"/>
  <c r="CP27" i="4"/>
  <c r="CP28" i="4"/>
  <c r="CP29" i="4"/>
  <c r="CP30" i="4"/>
  <c r="CP31" i="4"/>
  <c r="CP32" i="4"/>
  <c r="CP33" i="4"/>
  <c r="CP34" i="4"/>
  <c r="CP35" i="4"/>
  <c r="CP36" i="4"/>
  <c r="CP37" i="4"/>
  <c r="CP38" i="4"/>
  <c r="CP39" i="4"/>
  <c r="CP40" i="4"/>
  <c r="CO40" i="4"/>
  <c r="CO39" i="4"/>
  <c r="CO38" i="4"/>
  <c r="CO37" i="4"/>
  <c r="CO36" i="4"/>
  <c r="CO35" i="4"/>
  <c r="CO34" i="4"/>
  <c r="CO33" i="4"/>
  <c r="CO32" i="4"/>
  <c r="CO31" i="4"/>
  <c r="CO30" i="4"/>
  <c r="CO29" i="4"/>
  <c r="CO28" i="4"/>
  <c r="CO27" i="4"/>
  <c r="CO26" i="4"/>
  <c r="CO25" i="4"/>
  <c r="CO24" i="4"/>
  <c r="CO23" i="4"/>
  <c r="CO22" i="4"/>
  <c r="CO21" i="4"/>
  <c r="CO20" i="4"/>
  <c r="CO19" i="4"/>
  <c r="CO18" i="4"/>
  <c r="CO17" i="4"/>
  <c r="CO16" i="4"/>
  <c r="CO15" i="4"/>
  <c r="CO14" i="4"/>
  <c r="CO13" i="4"/>
  <c r="CO12" i="4"/>
  <c r="CO11" i="4"/>
  <c r="CO10" i="4"/>
  <c r="CO9" i="4"/>
  <c r="CO8" i="4"/>
  <c r="CO7" i="4"/>
  <c r="CO6" i="4"/>
  <c r="CN40" i="4"/>
  <c r="CN39" i="4"/>
  <c r="CN38" i="4"/>
  <c r="CN37" i="4"/>
  <c r="CN36" i="4"/>
  <c r="CN35" i="4"/>
  <c r="CN34" i="4"/>
  <c r="CN33" i="4"/>
  <c r="CN32" i="4"/>
  <c r="CN31" i="4"/>
  <c r="CN30" i="4"/>
  <c r="CN29" i="4"/>
  <c r="CN28" i="4"/>
  <c r="CN27" i="4"/>
  <c r="CN26" i="4"/>
  <c r="CN25" i="4"/>
  <c r="CN24" i="4"/>
  <c r="CN23" i="4"/>
  <c r="CN22" i="4"/>
  <c r="CN21" i="4"/>
  <c r="CN20" i="4"/>
  <c r="CN19" i="4"/>
  <c r="CN18" i="4"/>
  <c r="CN17" i="4"/>
  <c r="CN16" i="4"/>
  <c r="CN15" i="4"/>
  <c r="CN14" i="4"/>
  <c r="CN13" i="4"/>
  <c r="CN12" i="4"/>
  <c r="CN11" i="4"/>
  <c r="CN10" i="4"/>
  <c r="CN9" i="4"/>
  <c r="CN8" i="4"/>
  <c r="CN7" i="4"/>
  <c r="CN6"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L40" i="4"/>
  <c r="CL39" i="4"/>
  <c r="CL38" i="4"/>
  <c r="CL37" i="4"/>
  <c r="CL36" i="4"/>
  <c r="CL35" i="4"/>
  <c r="CL34" i="4"/>
  <c r="CL33" i="4"/>
  <c r="CL32" i="4"/>
  <c r="CL31" i="4"/>
  <c r="CL30" i="4"/>
  <c r="CL29" i="4"/>
  <c r="CL28" i="4"/>
  <c r="CL27" i="4"/>
  <c r="CL26" i="4"/>
  <c r="CL25" i="4"/>
  <c r="CL24" i="4"/>
  <c r="CL23" i="4"/>
  <c r="CL22" i="4"/>
  <c r="CL21" i="4"/>
  <c r="CL20" i="4"/>
  <c r="CL19" i="4"/>
  <c r="CL18" i="4"/>
  <c r="CL17" i="4"/>
  <c r="CL16" i="4"/>
  <c r="CL15" i="4"/>
  <c r="CL14" i="4"/>
  <c r="CL13" i="4"/>
  <c r="CL12" i="4"/>
  <c r="CL11" i="4"/>
  <c r="CL10" i="4"/>
  <c r="CL9" i="4"/>
  <c r="CL8" i="4"/>
  <c r="CL7" i="4"/>
  <c r="CL6" i="4"/>
  <c r="CK40" i="4"/>
  <c r="CK39" i="4"/>
  <c r="CK38" i="4"/>
  <c r="CK37" i="4"/>
  <c r="CK36" i="4"/>
  <c r="CK35" i="4"/>
  <c r="CK34" i="4"/>
  <c r="CK33" i="4"/>
  <c r="CK32" i="4"/>
  <c r="CK31" i="4"/>
  <c r="CK30" i="4"/>
  <c r="CK29" i="4"/>
  <c r="CK28" i="4"/>
  <c r="CK27" i="4"/>
  <c r="CK26" i="4"/>
  <c r="CK25" i="4"/>
  <c r="CK24" i="4"/>
  <c r="CK23" i="4"/>
  <c r="CK22" i="4"/>
  <c r="CK21" i="4"/>
  <c r="CK20" i="4"/>
  <c r="CK19" i="4"/>
  <c r="CK18" i="4"/>
  <c r="CK17" i="4"/>
  <c r="CK16" i="4"/>
  <c r="CK15" i="4"/>
  <c r="CK14" i="4"/>
  <c r="CK13" i="4"/>
  <c r="CK12" i="4"/>
  <c r="CK11" i="4"/>
  <c r="CK10" i="4"/>
  <c r="CK9" i="4"/>
  <c r="CK8" i="4"/>
  <c r="CK7" i="4"/>
  <c r="CK6" i="4"/>
  <c r="CJ40" i="4"/>
  <c r="CJ39" i="4"/>
  <c r="CJ38" i="4"/>
  <c r="CJ37" i="4"/>
  <c r="CJ36" i="4"/>
  <c r="CJ35" i="4"/>
  <c r="CJ34" i="4"/>
  <c r="CJ33" i="4"/>
  <c r="CJ32" i="4"/>
  <c r="CJ31" i="4"/>
  <c r="CJ30" i="4"/>
  <c r="CJ29" i="4"/>
  <c r="CJ28" i="4"/>
  <c r="CJ27" i="4"/>
  <c r="CJ26" i="4"/>
  <c r="CJ25" i="4"/>
  <c r="CJ24" i="4"/>
  <c r="CJ23" i="4"/>
  <c r="CJ22" i="4"/>
  <c r="CJ21" i="4"/>
  <c r="CJ20" i="4"/>
  <c r="CJ19" i="4"/>
  <c r="CJ18" i="4"/>
  <c r="CJ17" i="4"/>
  <c r="CJ16" i="4"/>
  <c r="CJ15" i="4"/>
  <c r="CJ14" i="4"/>
  <c r="CJ13" i="4"/>
  <c r="CJ12" i="4"/>
  <c r="CJ11" i="4"/>
  <c r="CJ10" i="4"/>
  <c r="CJ9" i="4"/>
  <c r="CJ8" i="4"/>
  <c r="CJ7" i="4"/>
  <c r="CJ6" i="4"/>
  <c r="CI40" i="4"/>
  <c r="CI39" i="4"/>
  <c r="CI38" i="4"/>
  <c r="CI37" i="4"/>
  <c r="CI36" i="4"/>
  <c r="CI35" i="4"/>
  <c r="CI34" i="4"/>
  <c r="CI33" i="4"/>
  <c r="CI32" i="4"/>
  <c r="CI31" i="4"/>
  <c r="CI30" i="4"/>
  <c r="CI29" i="4"/>
  <c r="CI28" i="4"/>
  <c r="CI27" i="4"/>
  <c r="CI26" i="4"/>
  <c r="CI25" i="4"/>
  <c r="CI24" i="4"/>
  <c r="CI23" i="4"/>
  <c r="CI22" i="4"/>
  <c r="CI21" i="4"/>
  <c r="CI20" i="4"/>
  <c r="CI19" i="4"/>
  <c r="CI18" i="4"/>
  <c r="CI17" i="4"/>
  <c r="CI16" i="4"/>
  <c r="CI15" i="4"/>
  <c r="CI14" i="4"/>
  <c r="CI13" i="4"/>
  <c r="CI12" i="4"/>
  <c r="CI11" i="4"/>
  <c r="CI10" i="4"/>
  <c r="CI9" i="4"/>
  <c r="CI8" i="4"/>
  <c r="CI7" i="4"/>
  <c r="CI6" i="4"/>
  <c r="CH40" i="4"/>
  <c r="CH39" i="4"/>
  <c r="CH38" i="4"/>
  <c r="CH37" i="4"/>
  <c r="CH36" i="4"/>
  <c r="CH35" i="4"/>
  <c r="CH34" i="4"/>
  <c r="CH33" i="4"/>
  <c r="CH32" i="4"/>
  <c r="CH31" i="4"/>
  <c r="CH30" i="4"/>
  <c r="CH29" i="4"/>
  <c r="CH28" i="4"/>
  <c r="CH27" i="4"/>
  <c r="CH26" i="4"/>
  <c r="CH25" i="4"/>
  <c r="CH24" i="4"/>
  <c r="CH23" i="4"/>
  <c r="CH22" i="4"/>
  <c r="CH21" i="4"/>
  <c r="CH20" i="4"/>
  <c r="CH19" i="4"/>
  <c r="CH18" i="4"/>
  <c r="CH17" i="4"/>
  <c r="CH16" i="4"/>
  <c r="CH15" i="4"/>
  <c r="CH14" i="4"/>
  <c r="CH13" i="4"/>
  <c r="CH12" i="4"/>
  <c r="CH11" i="4"/>
  <c r="CH10" i="4"/>
  <c r="CH9" i="4"/>
  <c r="CH8" i="4"/>
  <c r="CH7" i="4"/>
  <c r="CH6" i="4"/>
  <c r="CG40" i="4"/>
  <c r="CG39" i="4"/>
  <c r="CG38" i="4"/>
  <c r="CG37" i="4"/>
  <c r="CG36" i="4"/>
  <c r="CG35" i="4"/>
  <c r="CG34" i="4"/>
  <c r="CG33" i="4"/>
  <c r="CG32" i="4"/>
  <c r="CG31" i="4"/>
  <c r="CG30" i="4"/>
  <c r="CG29" i="4"/>
  <c r="CG28" i="4"/>
  <c r="CG27" i="4"/>
  <c r="CG26" i="4"/>
  <c r="CG25" i="4"/>
  <c r="CG24" i="4"/>
  <c r="CG23" i="4"/>
  <c r="CG22" i="4"/>
  <c r="CG21" i="4"/>
  <c r="CG20" i="4"/>
  <c r="CG19" i="4"/>
  <c r="CG18" i="4"/>
  <c r="CG17" i="4"/>
  <c r="CG16" i="4"/>
  <c r="CG15" i="4"/>
  <c r="CG14" i="4"/>
  <c r="CG13" i="4"/>
  <c r="CG12" i="4"/>
  <c r="CG11" i="4"/>
  <c r="CG10" i="4"/>
  <c r="CG9" i="4"/>
  <c r="CG8" i="4"/>
  <c r="CG7" i="4"/>
  <c r="CG6" i="4"/>
  <c r="CF40" i="4"/>
  <c r="CF39" i="4"/>
  <c r="CF38" i="4"/>
  <c r="CF37" i="4"/>
  <c r="CF36" i="4"/>
  <c r="CF35" i="4"/>
  <c r="CF34" i="4"/>
  <c r="CF33" i="4"/>
  <c r="CF32" i="4"/>
  <c r="CF31" i="4"/>
  <c r="CF30" i="4"/>
  <c r="CF29" i="4"/>
  <c r="CF28" i="4"/>
  <c r="CF27" i="4"/>
  <c r="CF26" i="4"/>
  <c r="CF25" i="4"/>
  <c r="CF24" i="4"/>
  <c r="CF23" i="4"/>
  <c r="CF22" i="4"/>
  <c r="CF21" i="4"/>
  <c r="CF20" i="4"/>
  <c r="CF19" i="4"/>
  <c r="CF18" i="4"/>
  <c r="CF17" i="4"/>
  <c r="CF16" i="4"/>
  <c r="CF15" i="4"/>
  <c r="CF14" i="4"/>
  <c r="CF13" i="4"/>
  <c r="CF12" i="4"/>
  <c r="CF11" i="4"/>
  <c r="CF10" i="4"/>
  <c r="CF9" i="4"/>
  <c r="CF8" i="4"/>
  <c r="CF7" i="4"/>
  <c r="CF6" i="4"/>
  <c r="CE40" i="4"/>
  <c r="CE39" i="4"/>
  <c r="CE38" i="4"/>
  <c r="CE37" i="4"/>
  <c r="CE36" i="4"/>
  <c r="CE35" i="4"/>
  <c r="CE34" i="4"/>
  <c r="CE33" i="4"/>
  <c r="CE32" i="4"/>
  <c r="CE31" i="4"/>
  <c r="CE30" i="4"/>
  <c r="CE29" i="4"/>
  <c r="CE28" i="4"/>
  <c r="CE27" i="4"/>
  <c r="CE26" i="4"/>
  <c r="CE25" i="4"/>
  <c r="CE24" i="4"/>
  <c r="CE23" i="4"/>
  <c r="CE22" i="4"/>
  <c r="CE21" i="4"/>
  <c r="CE20" i="4"/>
  <c r="CE19" i="4"/>
  <c r="CE18" i="4"/>
  <c r="CE17" i="4"/>
  <c r="CE16" i="4"/>
  <c r="CE15" i="4"/>
  <c r="CE14" i="4"/>
  <c r="CE13" i="4"/>
  <c r="CE12" i="4"/>
  <c r="CE11" i="4"/>
  <c r="CE10" i="4"/>
  <c r="CE9" i="4"/>
  <c r="CE8" i="4"/>
  <c r="CE7" i="4"/>
  <c r="CE6" i="4"/>
  <c r="CD40" i="4"/>
  <c r="CD39" i="4"/>
  <c r="CD38" i="4"/>
  <c r="CD37" i="4"/>
  <c r="CD36" i="4"/>
  <c r="CD35" i="4"/>
  <c r="CD34" i="4"/>
  <c r="CD33" i="4"/>
  <c r="CD32" i="4"/>
  <c r="CD31" i="4"/>
  <c r="CD30" i="4"/>
  <c r="CD29" i="4"/>
  <c r="CD28" i="4"/>
  <c r="CD27" i="4"/>
  <c r="CD26" i="4"/>
  <c r="CD25" i="4"/>
  <c r="CD24" i="4"/>
  <c r="CD23" i="4"/>
  <c r="CD22" i="4"/>
  <c r="CD21" i="4"/>
  <c r="CD20" i="4"/>
  <c r="CD19" i="4"/>
  <c r="CD18" i="4"/>
  <c r="CD17" i="4"/>
  <c r="CD16" i="4"/>
  <c r="CD15" i="4"/>
  <c r="CD14" i="4"/>
  <c r="CD13" i="4"/>
  <c r="CD12" i="4"/>
  <c r="CD11" i="4"/>
  <c r="CD10" i="4"/>
  <c r="CD9" i="4"/>
  <c r="CD8" i="4"/>
  <c r="CD7" i="4"/>
  <c r="CD6" i="4"/>
  <c r="CC40" i="4"/>
  <c r="CC39" i="4"/>
  <c r="CC38" i="4"/>
  <c r="CC37" i="4"/>
  <c r="CC36" i="4"/>
  <c r="CC35" i="4"/>
  <c r="CC34" i="4"/>
  <c r="CC33" i="4"/>
  <c r="CC32" i="4"/>
  <c r="CC31" i="4"/>
  <c r="CC30" i="4"/>
  <c r="CC29" i="4"/>
  <c r="CC28" i="4"/>
  <c r="CC27" i="4"/>
  <c r="CC26" i="4"/>
  <c r="CC25" i="4"/>
  <c r="CC24" i="4"/>
  <c r="CC23" i="4"/>
  <c r="CC22" i="4"/>
  <c r="CC21" i="4"/>
  <c r="CC20" i="4"/>
  <c r="CC19" i="4"/>
  <c r="CC18" i="4"/>
  <c r="CC17" i="4"/>
  <c r="CC16" i="4"/>
  <c r="CC15" i="4"/>
  <c r="CC14" i="4"/>
  <c r="CC13" i="4"/>
  <c r="CC12" i="4"/>
  <c r="CC11" i="4"/>
  <c r="CC10" i="4"/>
  <c r="CC9" i="4"/>
  <c r="CC8" i="4"/>
  <c r="CC7" i="4"/>
  <c r="CC6" i="4"/>
  <c r="CB40" i="4"/>
  <c r="CB39" i="4"/>
  <c r="CB38" i="4"/>
  <c r="CB37" i="4"/>
  <c r="CB36" i="4"/>
  <c r="CB35" i="4"/>
  <c r="CB34" i="4"/>
  <c r="CB33" i="4"/>
  <c r="CB32" i="4"/>
  <c r="CB31" i="4"/>
  <c r="CB30" i="4"/>
  <c r="CB29" i="4"/>
  <c r="CB28" i="4"/>
  <c r="CB27" i="4"/>
  <c r="CB26" i="4"/>
  <c r="CB25" i="4"/>
  <c r="CB24" i="4"/>
  <c r="CB23" i="4"/>
  <c r="CB22" i="4"/>
  <c r="CB21" i="4"/>
  <c r="CB20" i="4"/>
  <c r="CB19" i="4"/>
  <c r="CB18" i="4"/>
  <c r="CB17" i="4"/>
  <c r="CB16" i="4"/>
  <c r="CB15" i="4"/>
  <c r="CB14" i="4"/>
  <c r="CB13" i="4"/>
  <c r="CB12" i="4"/>
  <c r="CB11" i="4"/>
  <c r="CB10" i="4"/>
  <c r="CB9" i="4"/>
  <c r="CB8" i="4"/>
  <c r="CB7" i="4"/>
  <c r="CB6" i="4"/>
  <c r="CA40" i="4"/>
  <c r="CA39" i="4"/>
  <c r="CA38" i="4"/>
  <c r="CA37" i="4"/>
  <c r="CA36" i="4"/>
  <c r="CA35" i="4"/>
  <c r="CA34" i="4"/>
  <c r="CA33" i="4"/>
  <c r="CA32" i="4"/>
  <c r="CA31" i="4"/>
  <c r="CA30" i="4"/>
  <c r="CA29" i="4"/>
  <c r="CA28" i="4"/>
  <c r="CA27" i="4"/>
  <c r="CA26" i="4"/>
  <c r="CA25" i="4"/>
  <c r="CA24" i="4"/>
  <c r="CA23" i="4"/>
  <c r="CA22" i="4"/>
  <c r="CA21" i="4"/>
  <c r="CA20" i="4"/>
  <c r="CA19" i="4"/>
  <c r="CA18" i="4"/>
  <c r="CA17" i="4"/>
  <c r="CA16" i="4"/>
  <c r="CA15" i="4"/>
  <c r="CA14" i="4"/>
  <c r="CA13" i="4"/>
  <c r="CA12" i="4"/>
  <c r="CA11" i="4"/>
  <c r="CA10" i="4"/>
  <c r="CA9" i="4"/>
  <c r="CA8" i="4"/>
  <c r="CA7" i="4"/>
  <c r="CA6" i="4"/>
  <c r="BZ40" i="4"/>
  <c r="BZ39" i="4"/>
  <c r="BZ38" i="4"/>
  <c r="BZ37" i="4"/>
  <c r="BZ36" i="4"/>
  <c r="BZ35" i="4"/>
  <c r="BZ34" i="4"/>
  <c r="BZ33" i="4"/>
  <c r="BZ32" i="4"/>
  <c r="BZ31" i="4"/>
  <c r="BZ30" i="4"/>
  <c r="BZ29" i="4"/>
  <c r="BZ28" i="4"/>
  <c r="BZ27" i="4"/>
  <c r="BZ26" i="4"/>
  <c r="BZ25" i="4"/>
  <c r="BZ24" i="4"/>
  <c r="BZ23" i="4"/>
  <c r="BZ22" i="4"/>
  <c r="BZ21" i="4"/>
  <c r="BZ20" i="4"/>
  <c r="BZ19" i="4"/>
  <c r="BZ18" i="4"/>
  <c r="BZ17" i="4"/>
  <c r="BZ16" i="4"/>
  <c r="BZ15" i="4"/>
  <c r="BZ14" i="4"/>
  <c r="BZ13" i="4"/>
  <c r="BZ12" i="4"/>
  <c r="BZ11" i="4"/>
  <c r="BZ10" i="4"/>
  <c r="BZ9" i="4"/>
  <c r="BZ8" i="4"/>
  <c r="BZ7" i="4"/>
  <c r="BZ6" i="4"/>
  <c r="BY40" i="4"/>
  <c r="BY39" i="4"/>
  <c r="BY38" i="4"/>
  <c r="BY37" i="4"/>
  <c r="BY36" i="4"/>
  <c r="BY35" i="4"/>
  <c r="BY34" i="4"/>
  <c r="BY33" i="4"/>
  <c r="BY32" i="4"/>
  <c r="BY31" i="4"/>
  <c r="BY30" i="4"/>
  <c r="BY29" i="4"/>
  <c r="BY28" i="4"/>
  <c r="BY27" i="4"/>
  <c r="BY26" i="4"/>
  <c r="BY25" i="4"/>
  <c r="BY24" i="4"/>
  <c r="BY23" i="4"/>
  <c r="BY22" i="4"/>
  <c r="BY21" i="4"/>
  <c r="BY20" i="4"/>
  <c r="BY19" i="4"/>
  <c r="BY18" i="4"/>
  <c r="BY17" i="4"/>
  <c r="BY16" i="4"/>
  <c r="BY15" i="4"/>
  <c r="BY14" i="4"/>
  <c r="BY13" i="4"/>
  <c r="BY12" i="4"/>
  <c r="BY11" i="4"/>
  <c r="BY10" i="4"/>
  <c r="BY9" i="4"/>
  <c r="BY8" i="4"/>
  <c r="BY7" i="4"/>
  <c r="BY6" i="4"/>
  <c r="BX40" i="4"/>
  <c r="BX39" i="4"/>
  <c r="BX38" i="4"/>
  <c r="BX37" i="4"/>
  <c r="BX36" i="4"/>
  <c r="BX35" i="4"/>
  <c r="BX34"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W40" i="4"/>
  <c r="BW39" i="4"/>
  <c r="BW38" i="4"/>
  <c r="BW37" i="4"/>
  <c r="BW36" i="4"/>
  <c r="BW35" i="4"/>
  <c r="BW34" i="4"/>
  <c r="BW33" i="4"/>
  <c r="BW32" i="4"/>
  <c r="BW31" i="4"/>
  <c r="BW30" i="4"/>
  <c r="BW29" i="4"/>
  <c r="BW28" i="4"/>
  <c r="BW27" i="4"/>
  <c r="BW26" i="4"/>
  <c r="BW25" i="4"/>
  <c r="BW24" i="4"/>
  <c r="BW23" i="4"/>
  <c r="BW22" i="4"/>
  <c r="BW21" i="4"/>
  <c r="BW20" i="4"/>
  <c r="BW19" i="4"/>
  <c r="BW18" i="4"/>
  <c r="BW17" i="4"/>
  <c r="BW16" i="4"/>
  <c r="BW15" i="4"/>
  <c r="BW14" i="4"/>
  <c r="BW13" i="4"/>
  <c r="BW12" i="4"/>
  <c r="BW11" i="4"/>
  <c r="BW10" i="4"/>
  <c r="BW9" i="4"/>
  <c r="BW8" i="4"/>
  <c r="BW7" i="4"/>
  <c r="BW6" i="4"/>
  <c r="BV40" i="4"/>
  <c r="BV39" i="4"/>
  <c r="BV38" i="4"/>
  <c r="BV37" i="4"/>
  <c r="BV36" i="4"/>
  <c r="BV35" i="4"/>
  <c r="BV34" i="4"/>
  <c r="BV33" i="4"/>
  <c r="BV32" i="4"/>
  <c r="BV31" i="4"/>
  <c r="BV30" i="4"/>
  <c r="BV29" i="4"/>
  <c r="BV28" i="4"/>
  <c r="BV27" i="4"/>
  <c r="BV26" i="4"/>
  <c r="BV25" i="4"/>
  <c r="BV24" i="4"/>
  <c r="BV23" i="4"/>
  <c r="BV22" i="4"/>
  <c r="BV21" i="4"/>
  <c r="BV20" i="4"/>
  <c r="BV19" i="4"/>
  <c r="BV18" i="4"/>
  <c r="BV17" i="4"/>
  <c r="BV16" i="4"/>
  <c r="BV15" i="4"/>
  <c r="BV14" i="4"/>
  <c r="BV13" i="4"/>
  <c r="BV12" i="4"/>
  <c r="BV11" i="4"/>
  <c r="BV10" i="4"/>
  <c r="BV9" i="4"/>
  <c r="BV8" i="4"/>
  <c r="BV7" i="4"/>
  <c r="BV6" i="4"/>
  <c r="BU6" i="4"/>
  <c r="BU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A6" i="4"/>
  <c r="BA7" i="4"/>
  <c r="BA8"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40" i="4"/>
  <c r="BB6" i="4"/>
  <c r="BB7" i="4"/>
  <c r="BB8"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38" i="4"/>
  <c r="BB39" i="4"/>
  <c r="BB40" i="4"/>
  <c r="BC6" i="4"/>
  <c r="BC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D6" i="4"/>
  <c r="BD7" i="4"/>
  <c r="BD8" i="4"/>
  <c r="BD9" i="4"/>
  <c r="BD10" i="4"/>
  <c r="BD11" i="4"/>
  <c r="BD12" i="4"/>
  <c r="BD13" i="4"/>
  <c r="BD14" i="4"/>
  <c r="BD15" i="4"/>
  <c r="BD16" i="4"/>
  <c r="BD17" i="4"/>
  <c r="BD18" i="4"/>
  <c r="BD19" i="4"/>
  <c r="BD20" i="4"/>
  <c r="BD21" i="4"/>
  <c r="BD22" i="4"/>
  <c r="BD23" i="4"/>
  <c r="BD24" i="4"/>
  <c r="BD25" i="4"/>
  <c r="BD26" i="4"/>
  <c r="BD27" i="4"/>
  <c r="BD28" i="4"/>
  <c r="BD29" i="4"/>
  <c r="BD30" i="4"/>
  <c r="BD31" i="4"/>
  <c r="BD32" i="4"/>
  <c r="BD33" i="4"/>
  <c r="BD34" i="4"/>
  <c r="BD35" i="4"/>
  <c r="BD36" i="4"/>
  <c r="BD37" i="4"/>
  <c r="BD38" i="4"/>
  <c r="BD39" i="4"/>
  <c r="BD40" i="4"/>
  <c r="BE6" i="4"/>
  <c r="BE7"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F6" i="4"/>
  <c r="BF7" i="4"/>
  <c r="BF8" i="4"/>
  <c r="BF9" i="4"/>
  <c r="BF10" i="4"/>
  <c r="BF11" i="4"/>
  <c r="BF12" i="4"/>
  <c r="BF13" i="4"/>
  <c r="BF14" i="4"/>
  <c r="BF15" i="4"/>
  <c r="BF16" i="4"/>
  <c r="BF17" i="4"/>
  <c r="BF18" i="4"/>
  <c r="BF19" i="4"/>
  <c r="BF20" i="4"/>
  <c r="BF21" i="4"/>
  <c r="BF22" i="4"/>
  <c r="BF23" i="4"/>
  <c r="BF24" i="4"/>
  <c r="BF25" i="4"/>
  <c r="BF26" i="4"/>
  <c r="BF27" i="4"/>
  <c r="BF28" i="4"/>
  <c r="BF29" i="4"/>
  <c r="BF30" i="4"/>
  <c r="BF31" i="4"/>
  <c r="BF32" i="4"/>
  <c r="BF33" i="4"/>
  <c r="BF34" i="4"/>
  <c r="BF35" i="4"/>
  <c r="BF36" i="4"/>
  <c r="BF37" i="4"/>
  <c r="BF38" i="4"/>
  <c r="BF39" i="4"/>
  <c r="BF40" i="4"/>
  <c r="BG6" i="4"/>
  <c r="BG7" i="4"/>
  <c r="BG8" i="4"/>
  <c r="BG9" i="4"/>
  <c r="BG10" i="4"/>
  <c r="BG11" i="4"/>
  <c r="BG12" i="4"/>
  <c r="BG13" i="4"/>
  <c r="BG14" i="4"/>
  <c r="BG15" i="4"/>
  <c r="BG16" i="4"/>
  <c r="BG17" i="4"/>
  <c r="BG18" i="4"/>
  <c r="BG19" i="4"/>
  <c r="BG20" i="4"/>
  <c r="BG21" i="4"/>
  <c r="BG22" i="4"/>
  <c r="BG23" i="4"/>
  <c r="BG24" i="4"/>
  <c r="BG25" i="4"/>
  <c r="BG26" i="4"/>
  <c r="BG27" i="4"/>
  <c r="BG28" i="4"/>
  <c r="BG29" i="4"/>
  <c r="BG30" i="4"/>
  <c r="BG31" i="4"/>
  <c r="BG32" i="4"/>
  <c r="BG33" i="4"/>
  <c r="BG34" i="4"/>
  <c r="BG35" i="4"/>
  <c r="BG36" i="4"/>
  <c r="BG37" i="4"/>
  <c r="BG38" i="4"/>
  <c r="BG39" i="4"/>
  <c r="BG40" i="4"/>
  <c r="BH6" i="4"/>
  <c r="BH7" i="4"/>
  <c r="BH8" i="4"/>
  <c r="BH9" i="4"/>
  <c r="BH10" i="4"/>
  <c r="BH11" i="4"/>
  <c r="BH12" i="4"/>
  <c r="BH13" i="4"/>
  <c r="BH14" i="4"/>
  <c r="BH15" i="4"/>
  <c r="BH16" i="4"/>
  <c r="BH17" i="4"/>
  <c r="BH18" i="4"/>
  <c r="BH19" i="4"/>
  <c r="BH20" i="4"/>
  <c r="BH21" i="4"/>
  <c r="BH22" i="4"/>
  <c r="BH23" i="4"/>
  <c r="BH24" i="4"/>
  <c r="BH25" i="4"/>
  <c r="BH26" i="4"/>
  <c r="BH27" i="4"/>
  <c r="BH28" i="4"/>
  <c r="BH29" i="4"/>
  <c r="BH30" i="4"/>
  <c r="BH31" i="4"/>
  <c r="BH32" i="4"/>
  <c r="BH33" i="4"/>
  <c r="BH34" i="4"/>
  <c r="BH35" i="4"/>
  <c r="BH36" i="4"/>
  <c r="BH37" i="4"/>
  <c r="BH38" i="4"/>
  <c r="BH39" i="4"/>
  <c r="BH40" i="4"/>
  <c r="BI6" i="4"/>
  <c r="BI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J6" i="4"/>
  <c r="BJ7" i="4"/>
  <c r="BJ8" i="4"/>
  <c r="BJ9" i="4"/>
  <c r="BJ10" i="4"/>
  <c r="BJ11" i="4"/>
  <c r="BJ12" i="4"/>
  <c r="BJ13" i="4"/>
  <c r="BJ14" i="4"/>
  <c r="BJ15" i="4"/>
  <c r="BJ16" i="4"/>
  <c r="BJ17" i="4"/>
  <c r="BJ18" i="4"/>
  <c r="BJ19" i="4"/>
  <c r="BJ20" i="4"/>
  <c r="BJ21" i="4"/>
  <c r="BJ22" i="4"/>
  <c r="BJ23" i="4"/>
  <c r="BJ24" i="4"/>
  <c r="BJ25" i="4"/>
  <c r="BJ26" i="4"/>
  <c r="BJ27" i="4"/>
  <c r="BJ28" i="4"/>
  <c r="BJ29" i="4"/>
  <c r="BJ30" i="4"/>
  <c r="BJ31" i="4"/>
  <c r="BJ32" i="4"/>
  <c r="BJ33" i="4"/>
  <c r="BJ34" i="4"/>
  <c r="BJ35" i="4"/>
  <c r="BJ36" i="4"/>
  <c r="BJ37" i="4"/>
  <c r="BJ38" i="4"/>
  <c r="BJ39" i="4"/>
  <c r="BJ40" i="4"/>
  <c r="BK6" i="4"/>
  <c r="BK7" i="4"/>
  <c r="BK8" i="4"/>
  <c r="BK9" i="4"/>
  <c r="BK10" i="4"/>
  <c r="BK11" i="4"/>
  <c r="BK12" i="4"/>
  <c r="BK13" i="4"/>
  <c r="BK14" i="4"/>
  <c r="BK15" i="4"/>
  <c r="BK16" i="4"/>
  <c r="BK17" i="4"/>
  <c r="BK18" i="4"/>
  <c r="BK19" i="4"/>
  <c r="BK20" i="4"/>
  <c r="BK21" i="4"/>
  <c r="BK22" i="4"/>
  <c r="BK23" i="4"/>
  <c r="BK24" i="4"/>
  <c r="BK25" i="4"/>
  <c r="BK26" i="4"/>
  <c r="BK27" i="4"/>
  <c r="BK28" i="4"/>
  <c r="BK29" i="4"/>
  <c r="BK30" i="4"/>
  <c r="BK31" i="4"/>
  <c r="BK32" i="4"/>
  <c r="BK33" i="4"/>
  <c r="BK34" i="4"/>
  <c r="BK35" i="4"/>
  <c r="BK36" i="4"/>
  <c r="BK37" i="4"/>
  <c r="BK38" i="4"/>
  <c r="BK39" i="4"/>
  <c r="BK40" i="4"/>
  <c r="BL6" i="4"/>
  <c r="BL7" i="4"/>
  <c r="BL8" i="4"/>
  <c r="BL9" i="4"/>
  <c r="BL10" i="4"/>
  <c r="BL11" i="4"/>
  <c r="BL12" i="4"/>
  <c r="BL13" i="4"/>
  <c r="BL14" i="4"/>
  <c r="BL15" i="4"/>
  <c r="BL16" i="4"/>
  <c r="BL17" i="4"/>
  <c r="BL18" i="4"/>
  <c r="BL19" i="4"/>
  <c r="BL20" i="4"/>
  <c r="BL21" i="4"/>
  <c r="BL22" i="4"/>
  <c r="BL23" i="4"/>
  <c r="BL24" i="4"/>
  <c r="BL25" i="4"/>
  <c r="BL26" i="4"/>
  <c r="BL27" i="4"/>
  <c r="BL28" i="4"/>
  <c r="BL29" i="4"/>
  <c r="BL30" i="4"/>
  <c r="BL31" i="4"/>
  <c r="BL32" i="4"/>
  <c r="BL33" i="4"/>
  <c r="BL34" i="4"/>
  <c r="BL35" i="4"/>
  <c r="BL36" i="4"/>
  <c r="BL37" i="4"/>
  <c r="BL38" i="4"/>
  <c r="BL39" i="4"/>
  <c r="BL40" i="4"/>
  <c r="BM6" i="4"/>
  <c r="BM7" i="4"/>
  <c r="BM8" i="4"/>
  <c r="BM9" i="4"/>
  <c r="BM10" i="4"/>
  <c r="BM11" i="4"/>
  <c r="BM12" i="4"/>
  <c r="BM13" i="4"/>
  <c r="BM14" i="4"/>
  <c r="BM15" i="4"/>
  <c r="BM16" i="4"/>
  <c r="BM17" i="4"/>
  <c r="BM18" i="4"/>
  <c r="BM19" i="4"/>
  <c r="BM20" i="4"/>
  <c r="BM21" i="4"/>
  <c r="BM22" i="4"/>
  <c r="BM23" i="4"/>
  <c r="BM24" i="4"/>
  <c r="BM25" i="4"/>
  <c r="BM26" i="4"/>
  <c r="BM27" i="4"/>
  <c r="BM28" i="4"/>
  <c r="BM29" i="4"/>
  <c r="BM30" i="4"/>
  <c r="BM31" i="4"/>
  <c r="BM32" i="4"/>
  <c r="BM33" i="4"/>
  <c r="BM34" i="4"/>
  <c r="BM35" i="4"/>
  <c r="BM36" i="4"/>
  <c r="BM37" i="4"/>
  <c r="BM38" i="4"/>
  <c r="BM39" i="4"/>
  <c r="BM40"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N36" i="4"/>
  <c r="BN37" i="4"/>
  <c r="BN38" i="4"/>
  <c r="BN39" i="4"/>
  <c r="BN40" i="4"/>
  <c r="BO6" i="4"/>
  <c r="BO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P6" i="4"/>
  <c r="BP7" i="4"/>
  <c r="BP8" i="4"/>
  <c r="BP9" i="4"/>
  <c r="BP10" i="4"/>
  <c r="BP11" i="4"/>
  <c r="BP12" i="4"/>
  <c r="BP13" i="4"/>
  <c r="BP14" i="4"/>
  <c r="BP15" i="4"/>
  <c r="BP16" i="4"/>
  <c r="BP17" i="4"/>
  <c r="BP18" i="4"/>
  <c r="BP19" i="4"/>
  <c r="BP20" i="4"/>
  <c r="BP21" i="4"/>
  <c r="BP22" i="4"/>
  <c r="BP23" i="4"/>
  <c r="BP24" i="4"/>
  <c r="BP25" i="4"/>
  <c r="BP26" i="4"/>
  <c r="BP27" i="4"/>
  <c r="BP28" i="4"/>
  <c r="BP29" i="4"/>
  <c r="BP30" i="4"/>
  <c r="BP31" i="4"/>
  <c r="BP32" i="4"/>
  <c r="BP33" i="4"/>
  <c r="BP34" i="4"/>
  <c r="BP35" i="4"/>
  <c r="BP36" i="4"/>
  <c r="BP37" i="4"/>
  <c r="BP38" i="4"/>
  <c r="BP39" i="4"/>
  <c r="BP40" i="4"/>
  <c r="BQ6" i="4"/>
  <c r="BQ7" i="4"/>
  <c r="BQ8" i="4"/>
  <c r="BQ9" i="4"/>
  <c r="BQ10" i="4"/>
  <c r="BQ11" i="4"/>
  <c r="BQ12" i="4"/>
  <c r="BQ13" i="4"/>
  <c r="BQ14" i="4"/>
  <c r="BQ15" i="4"/>
  <c r="BQ16" i="4"/>
  <c r="BQ17" i="4"/>
  <c r="BQ18" i="4"/>
  <c r="BQ19" i="4"/>
  <c r="BQ20" i="4"/>
  <c r="BQ21" i="4"/>
  <c r="BQ22" i="4"/>
  <c r="BQ23" i="4"/>
  <c r="BQ24" i="4"/>
  <c r="BQ25" i="4"/>
  <c r="BQ26" i="4"/>
  <c r="BQ27" i="4"/>
  <c r="BQ28" i="4"/>
  <c r="BQ29" i="4"/>
  <c r="BQ30" i="4"/>
  <c r="BQ31" i="4"/>
  <c r="BQ32" i="4"/>
  <c r="BQ33" i="4"/>
  <c r="BQ34" i="4"/>
  <c r="BQ35" i="4"/>
  <c r="BQ36" i="4"/>
  <c r="BQ37" i="4"/>
  <c r="BQ38" i="4"/>
  <c r="BQ39" i="4"/>
  <c r="BQ40" i="4"/>
  <c r="BR6" i="4"/>
  <c r="BR7" i="4"/>
  <c r="BR8" i="4"/>
  <c r="BR9" i="4"/>
  <c r="BR10" i="4"/>
  <c r="BR11" i="4"/>
  <c r="BR12" i="4"/>
  <c r="BR13" i="4"/>
  <c r="BR14" i="4"/>
  <c r="BR15" i="4"/>
  <c r="BR16" i="4"/>
  <c r="BR17" i="4"/>
  <c r="BR18" i="4"/>
  <c r="BR19" i="4"/>
  <c r="BR20" i="4"/>
  <c r="BR21" i="4"/>
  <c r="BR22" i="4"/>
  <c r="BR23" i="4"/>
  <c r="BR24" i="4"/>
  <c r="BR25" i="4"/>
  <c r="BR26" i="4"/>
  <c r="BR27" i="4"/>
  <c r="BR28" i="4"/>
  <c r="BR29" i="4"/>
  <c r="BR30" i="4"/>
  <c r="BR31" i="4"/>
  <c r="BR32" i="4"/>
  <c r="BR33" i="4"/>
  <c r="BR34" i="4"/>
  <c r="BR35" i="4"/>
  <c r="BR36" i="4"/>
  <c r="BR37" i="4"/>
  <c r="BR38" i="4"/>
  <c r="BR39" i="4"/>
  <c r="BR40" i="4"/>
  <c r="BS6" i="4"/>
  <c r="BS7" i="4"/>
  <c r="BS8" i="4"/>
  <c r="BS9" i="4"/>
  <c r="BS10" i="4"/>
  <c r="BS11" i="4"/>
  <c r="BS12" i="4"/>
  <c r="BS13" i="4"/>
  <c r="BS14" i="4"/>
  <c r="BS15" i="4"/>
  <c r="BS16" i="4"/>
  <c r="BS17" i="4"/>
  <c r="BS18" i="4"/>
  <c r="BS19" i="4"/>
  <c r="BS20" i="4"/>
  <c r="BS21" i="4"/>
  <c r="BS22" i="4"/>
  <c r="BS23" i="4"/>
  <c r="BS24" i="4"/>
  <c r="BS25" i="4"/>
  <c r="BS26" i="4"/>
  <c r="BS27" i="4"/>
  <c r="BS28" i="4"/>
  <c r="BS29" i="4"/>
  <c r="BS30" i="4"/>
  <c r="BS31" i="4"/>
  <c r="BS32" i="4"/>
  <c r="BS33" i="4"/>
  <c r="BS34" i="4"/>
  <c r="BS35" i="4"/>
  <c r="BS36" i="4"/>
  <c r="BS37" i="4"/>
  <c r="BS38" i="4"/>
  <c r="BS39" i="4"/>
  <c r="BS40" i="4"/>
  <c r="BT6" i="4"/>
  <c r="BT7" i="4"/>
  <c r="BT8" i="4"/>
  <c r="BT9" i="4"/>
  <c r="BT10" i="4"/>
  <c r="BT11" i="4"/>
  <c r="BT12" i="4"/>
  <c r="BT13" i="4"/>
  <c r="BT14" i="4"/>
  <c r="BT15" i="4"/>
  <c r="BT16" i="4"/>
  <c r="BT17" i="4"/>
  <c r="BT18" i="4"/>
  <c r="BT19" i="4"/>
  <c r="BT20" i="4"/>
  <c r="BT21" i="4"/>
  <c r="BT22" i="4"/>
  <c r="BT23" i="4"/>
  <c r="BT24" i="4"/>
  <c r="BT25" i="4"/>
  <c r="BT26" i="4"/>
  <c r="BT27" i="4"/>
  <c r="BT28" i="4"/>
  <c r="BT29" i="4"/>
  <c r="BT30" i="4"/>
  <c r="BT31" i="4"/>
  <c r="BT32" i="4"/>
  <c r="BT33" i="4"/>
  <c r="BT34" i="4"/>
  <c r="BT35" i="4"/>
  <c r="BT36" i="4"/>
  <c r="BT37" i="4"/>
  <c r="BT38" i="4"/>
  <c r="BT39" i="4"/>
  <c r="BT40" i="4"/>
  <c r="AZ6" i="4"/>
  <c r="AZ7" i="4"/>
  <c r="AZ8" i="4"/>
  <c r="AZ9" i="4"/>
  <c r="AZ10" i="4"/>
  <c r="AZ11" i="4"/>
  <c r="AZ12" i="4"/>
  <c r="AZ13" i="4"/>
  <c r="AZ14" i="4"/>
  <c r="AZ15" i="4"/>
  <c r="AZ16" i="4"/>
  <c r="AZ17" i="4"/>
  <c r="AZ18" i="4"/>
  <c r="AZ19" i="4"/>
  <c r="AZ20" i="4"/>
  <c r="AZ21" i="4"/>
  <c r="AZ22" i="4"/>
  <c r="AZ23" i="4"/>
  <c r="AZ24" i="4"/>
  <c r="AZ25" i="4"/>
  <c r="AZ26" i="4"/>
  <c r="AZ27" i="4"/>
  <c r="AZ28" i="4"/>
  <c r="AZ29" i="4"/>
  <c r="AZ30" i="4"/>
  <c r="AZ31" i="4"/>
  <c r="AZ32" i="4"/>
  <c r="AZ33" i="4"/>
  <c r="AZ34" i="4"/>
  <c r="AZ35" i="4"/>
  <c r="AZ36" i="4"/>
  <c r="AZ37" i="4"/>
  <c r="AZ38" i="4"/>
  <c r="AZ39" i="4"/>
  <c r="AZ40"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J6" i="4"/>
  <c r="AJ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R6"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37" i="4"/>
  <c r="AS38" i="4"/>
  <c r="AS39" i="4"/>
  <c r="AS40" i="4"/>
  <c r="AT6" i="4"/>
  <c r="AT7" i="4"/>
  <c r="AT8" i="4"/>
  <c r="AT9"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40" i="4"/>
  <c r="AU6" i="4"/>
  <c r="AU7" i="4"/>
  <c r="AU8" i="4"/>
  <c r="AU9" i="4"/>
  <c r="AU10" i="4"/>
  <c r="AU11" i="4"/>
  <c r="AU12" i="4"/>
  <c r="AU13" i="4"/>
  <c r="AU14" i="4"/>
  <c r="AU15" i="4"/>
  <c r="AU16" i="4"/>
  <c r="AU17" i="4"/>
  <c r="AU18" i="4"/>
  <c r="AU19" i="4"/>
  <c r="AU20" i="4"/>
  <c r="AU21" i="4"/>
  <c r="AU22" i="4"/>
  <c r="AU23" i="4"/>
  <c r="AU24" i="4"/>
  <c r="AU25" i="4"/>
  <c r="AU26" i="4"/>
  <c r="AU27" i="4"/>
  <c r="AU28" i="4"/>
  <c r="AU29" i="4"/>
  <c r="AU30" i="4"/>
  <c r="AU31" i="4"/>
  <c r="AU32" i="4"/>
  <c r="AU33" i="4"/>
  <c r="AU34" i="4"/>
  <c r="AU35" i="4"/>
  <c r="AU36" i="4"/>
  <c r="AU37" i="4"/>
  <c r="AU38" i="4"/>
  <c r="AU39" i="4"/>
  <c r="AU40" i="4"/>
  <c r="AV6"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W6" i="4"/>
  <c r="AW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X6" i="4"/>
  <c r="AX7" i="4"/>
  <c r="AX8" i="4"/>
  <c r="AX9"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37" i="4"/>
  <c r="AX38" i="4"/>
  <c r="AX39" i="4"/>
  <c r="AX40" i="4"/>
  <c r="AY6" i="4"/>
  <c r="AY7" i="4"/>
  <c r="AY8" i="4"/>
  <c r="AY9" i="4"/>
  <c r="AY10" i="4"/>
  <c r="AY11" i="4"/>
  <c r="AY12" i="4"/>
  <c r="AY13" i="4"/>
  <c r="AY14" i="4"/>
  <c r="AY15" i="4"/>
  <c r="AY16" i="4"/>
  <c r="AY17" i="4"/>
  <c r="AY18" i="4"/>
  <c r="AY19" i="4"/>
  <c r="AY20" i="4"/>
  <c r="AY21" i="4"/>
  <c r="AY22" i="4"/>
  <c r="AY23" i="4"/>
  <c r="AY24" i="4"/>
  <c r="AY25" i="4"/>
  <c r="AY26" i="4"/>
  <c r="AY27" i="4"/>
  <c r="AY28" i="4"/>
  <c r="AY29" i="4"/>
  <c r="AY30" i="4"/>
  <c r="AY31" i="4"/>
  <c r="AY32" i="4"/>
  <c r="AY33" i="4"/>
  <c r="AY34" i="4"/>
  <c r="AY35" i="4"/>
  <c r="AY36" i="4"/>
  <c r="AY37" i="4"/>
  <c r="AY38" i="4"/>
  <c r="AY39" i="4"/>
  <c r="AY40"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M23" i="4" l="1"/>
  <c r="M12" i="4"/>
  <c r="M11" i="4"/>
  <c r="M9" i="4"/>
  <c r="M8" i="4"/>
  <c r="M7" i="4"/>
  <c r="P17" i="4"/>
  <c r="P16" i="4"/>
  <c r="P15" i="4"/>
  <c r="P14" i="4"/>
  <c r="P13" i="4"/>
  <c r="M22" i="4"/>
  <c r="M21" i="4"/>
  <c r="M20" i="4"/>
  <c r="M19" i="4"/>
  <c r="M18" i="4"/>
  <c r="M17" i="4"/>
  <c r="M16" i="4"/>
  <c r="M15" i="4"/>
  <c r="M14" i="4"/>
  <c r="M13" i="4"/>
  <c r="K36" i="4" l="1"/>
  <c r="K37" i="4"/>
  <c r="K38" i="4"/>
  <c r="K39" i="4"/>
  <c r="K40" i="4"/>
  <c r="N36" i="4"/>
  <c r="N37" i="4"/>
  <c r="N38" i="4"/>
  <c r="N39" i="4"/>
  <c r="N40" i="4"/>
  <c r="Q36" i="4"/>
  <c r="Q37" i="4"/>
  <c r="Q38" i="4"/>
  <c r="Q39" i="4"/>
  <c r="Q40" i="4"/>
  <c r="S36" i="4"/>
  <c r="S37" i="4"/>
  <c r="S38" i="4"/>
  <c r="S39" i="4"/>
  <c r="S40" i="4"/>
  <c r="U36" i="4"/>
  <c r="U37" i="4"/>
  <c r="U38" i="4"/>
  <c r="U39" i="4"/>
  <c r="U40" i="4"/>
  <c r="W36" i="4"/>
  <c r="W37" i="4"/>
  <c r="W38" i="4"/>
  <c r="W39" i="4"/>
  <c r="W40" i="4"/>
  <c r="Z36" i="4"/>
  <c r="Z37" i="4"/>
  <c r="Z38" i="4"/>
  <c r="Z39" i="4"/>
  <c r="Z40" i="4"/>
  <c r="K31" i="4"/>
  <c r="K32" i="4"/>
  <c r="K33" i="4"/>
  <c r="K34" i="4"/>
  <c r="K35" i="4"/>
  <c r="N31" i="4"/>
  <c r="N32" i="4"/>
  <c r="N33" i="4"/>
  <c r="N34" i="4"/>
  <c r="N35" i="4"/>
  <c r="Q31" i="4"/>
  <c r="Q32" i="4"/>
  <c r="Q33" i="4"/>
  <c r="Q34" i="4"/>
  <c r="Q35" i="4"/>
  <c r="S31" i="4"/>
  <c r="S32" i="4"/>
  <c r="S33" i="4"/>
  <c r="S34" i="4"/>
  <c r="S35" i="4"/>
  <c r="U31" i="4"/>
  <c r="U32" i="4"/>
  <c r="U33" i="4"/>
  <c r="U34" i="4"/>
  <c r="U35" i="4"/>
  <c r="W31" i="4"/>
  <c r="W32" i="4"/>
  <c r="W33" i="4"/>
  <c r="W34" i="4"/>
  <c r="W35" i="4"/>
  <c r="Z31" i="4"/>
  <c r="Z32" i="4"/>
  <c r="Z33" i="4"/>
  <c r="Z34" i="4"/>
  <c r="Z35" i="4"/>
  <c r="K30" i="4"/>
  <c r="N30" i="4"/>
  <c r="Q30" i="4"/>
  <c r="S30" i="4"/>
  <c r="U30" i="4"/>
  <c r="W30" i="4"/>
  <c r="Z30" i="4"/>
  <c r="K29" i="4"/>
  <c r="N29" i="4"/>
  <c r="Q29" i="4"/>
  <c r="S29" i="4"/>
  <c r="U29" i="4"/>
  <c r="W29" i="4"/>
  <c r="Z29" i="4"/>
  <c r="K28" i="4"/>
  <c r="N28" i="4"/>
  <c r="Q28" i="4"/>
  <c r="S28" i="4"/>
  <c r="U28" i="4"/>
  <c r="W28" i="4"/>
  <c r="Z28" i="4"/>
  <c r="K27" i="4"/>
  <c r="N27" i="4"/>
  <c r="Q27" i="4"/>
  <c r="S27" i="4"/>
  <c r="U27" i="4"/>
  <c r="W27" i="4"/>
  <c r="Z27" i="4"/>
  <c r="K26" i="4"/>
  <c r="N26" i="4"/>
  <c r="Q26" i="4"/>
  <c r="S26" i="4"/>
  <c r="U26" i="4"/>
  <c r="W26" i="4"/>
  <c r="Z26" i="4"/>
  <c r="AC37" i="4" l="1"/>
  <c r="AC28" i="4"/>
  <c r="AC29" i="4"/>
  <c r="AC34" i="4"/>
  <c r="AA34" i="4"/>
  <c r="AC39" i="4"/>
  <c r="AA37" i="4"/>
  <c r="AC40" i="4"/>
  <c r="AA40" i="4"/>
  <c r="AA39" i="4"/>
  <c r="AC38" i="4"/>
  <c r="AA38" i="4"/>
  <c r="AA36" i="4"/>
  <c r="AC36" i="4"/>
  <c r="AA30" i="4"/>
  <c r="AC33" i="4"/>
  <c r="AA32" i="4"/>
  <c r="AC32" i="4"/>
  <c r="AA35" i="4"/>
  <c r="AA31" i="4"/>
  <c r="AC35" i="4"/>
  <c r="AC31" i="4"/>
  <c r="AA33" i="4"/>
  <c r="AC30" i="4"/>
  <c r="AC26" i="4"/>
  <c r="AA26" i="4"/>
  <c r="AD38" i="4"/>
  <c r="AB36" i="4"/>
  <c r="AB37" i="4"/>
  <c r="AD39" i="4"/>
  <c r="AB38" i="4"/>
  <c r="AB31" i="4"/>
  <c r="AB28" i="4"/>
  <c r="AB39" i="4"/>
  <c r="AB35" i="4"/>
  <c r="AB34" i="4"/>
  <c r="AD37" i="4"/>
  <c r="AB40" i="4"/>
  <c r="AB26" i="4"/>
  <c r="AB30" i="4"/>
  <c r="AB27" i="4"/>
  <c r="AD32" i="4"/>
  <c r="AD27" i="4"/>
  <c r="AD33" i="4"/>
  <c r="AD35" i="4"/>
  <c r="AD28" i="4"/>
  <c r="AB33" i="4"/>
  <c r="AB32" i="4"/>
  <c r="AD40" i="4"/>
  <c r="AD34" i="4"/>
  <c r="AD30" i="4"/>
  <c r="AD29" i="4"/>
  <c r="AB29" i="4"/>
  <c r="AD31" i="4"/>
  <c r="AD26" i="4"/>
  <c r="AC27" i="4" l="1"/>
  <c r="H27" i="4" s="1"/>
  <c r="AA27" i="4"/>
  <c r="G27" i="4" s="1"/>
  <c r="AA29" i="4"/>
  <c r="G29" i="4" s="1"/>
  <c r="AA28" i="4"/>
  <c r="G28" i="4" s="1"/>
  <c r="G32" i="4"/>
  <c r="G38" i="4"/>
  <c r="G37" i="4"/>
  <c r="H37" i="4"/>
  <c r="G39" i="4"/>
  <c r="H39" i="4"/>
  <c r="H31" i="4"/>
  <c r="G33" i="4"/>
  <c r="G36" i="4"/>
  <c r="G30" i="4"/>
  <c r="G34" i="4"/>
  <c r="G40" i="4"/>
  <c r="H38" i="4"/>
  <c r="H40" i="4"/>
  <c r="G31" i="4"/>
  <c r="H35" i="4"/>
  <c r="H32" i="4"/>
  <c r="H30" i="4"/>
  <c r="H34" i="4"/>
  <c r="G35" i="4"/>
  <c r="H33" i="4"/>
  <c r="H29" i="4"/>
  <c r="H26" i="4"/>
  <c r="G26" i="4"/>
  <c r="H28" i="4"/>
  <c r="AD36" i="4"/>
  <c r="H36" i="4" l="1"/>
  <c r="N20" i="3" l="1"/>
  <c r="M20" i="3"/>
  <c r="L20" i="3"/>
  <c r="EF3" i="4"/>
  <c r="EF4" i="4" s="1"/>
  <c r="BU3" i="4"/>
  <c r="BU4" i="4" s="1"/>
  <c r="EG3" i="4" l="1"/>
  <c r="BV3" i="4"/>
  <c r="EG4" i="4" l="1"/>
  <c r="EH3" i="4"/>
  <c r="BV4" i="4"/>
  <c r="BW3" i="4"/>
  <c r="EH4" i="4" l="1"/>
  <c r="EI3" i="4"/>
  <c r="BX3" i="4"/>
  <c r="BW4" i="4"/>
  <c r="EI4" i="4" l="1"/>
  <c r="EJ3" i="4"/>
  <c r="BX4" i="4"/>
  <c r="BY3" i="4"/>
  <c r="EJ4" i="4" l="1"/>
  <c r="EK3" i="4"/>
  <c r="BY4" i="4"/>
  <c r="BZ3" i="4"/>
  <c r="EK4" i="4" l="1"/>
  <c r="EL3" i="4"/>
  <c r="BZ4" i="4"/>
  <c r="CA3" i="4"/>
  <c r="EL4" i="4" l="1"/>
  <c r="EM3" i="4"/>
  <c r="CA4" i="4"/>
  <c r="CB3" i="4"/>
  <c r="EM4" i="4" l="1"/>
  <c r="EN3" i="4"/>
  <c r="CB4" i="4"/>
  <c r="CC3" i="4"/>
  <c r="EN4" i="4" l="1"/>
  <c r="EO3" i="4"/>
  <c r="CC4" i="4"/>
  <c r="CD3" i="4"/>
  <c r="EO4" i="4" l="1"/>
  <c r="EP3" i="4"/>
  <c r="CD4" i="4"/>
  <c r="CE3" i="4"/>
  <c r="EP4" i="4" l="1"/>
  <c r="EQ3" i="4"/>
  <c r="CE4" i="4"/>
  <c r="CF3" i="4"/>
  <c r="EQ4" i="4" l="1"/>
  <c r="ER3" i="4"/>
  <c r="CF4" i="4"/>
  <c r="CG3" i="4"/>
  <c r="ER4" i="4" l="1"/>
  <c r="ES3" i="4"/>
  <c r="CG4" i="4"/>
  <c r="CH3" i="4"/>
  <c r="ET3" i="4" l="1"/>
  <c r="ES4" i="4"/>
  <c r="CI3" i="4"/>
  <c r="CH4" i="4"/>
  <c r="ET4" i="4" l="1"/>
  <c r="EU3" i="4"/>
  <c r="CI4" i="4"/>
  <c r="CJ3" i="4"/>
  <c r="EU4" i="4" l="1"/>
  <c r="EV3" i="4"/>
  <c r="CJ4" i="4"/>
  <c r="CK3" i="4"/>
  <c r="EV4" i="4" l="1"/>
  <c r="EW3" i="4"/>
  <c r="CK4" i="4"/>
  <c r="CL3" i="4"/>
  <c r="Q6" i="4"/>
  <c r="Q7" i="4"/>
  <c r="Q8" i="4"/>
  <c r="Q9" i="4"/>
  <c r="Q10" i="4"/>
  <c r="Q11" i="4"/>
  <c r="Q12" i="4"/>
  <c r="Q13" i="4"/>
  <c r="Q14" i="4"/>
  <c r="Q15" i="4"/>
  <c r="Q16" i="4"/>
  <c r="Q17" i="4"/>
  <c r="Q18" i="4"/>
  <c r="Q19" i="4"/>
  <c r="Q20" i="4"/>
  <c r="Q21" i="4"/>
  <c r="Q22" i="4"/>
  <c r="Q23" i="4"/>
  <c r="Q24" i="4"/>
  <c r="Q25" i="4"/>
  <c r="Z22" i="4"/>
  <c r="W22" i="4"/>
  <c r="U22" i="4"/>
  <c r="S22" i="4"/>
  <c r="N22" i="4"/>
  <c r="K22" i="4"/>
  <c r="Z21" i="4"/>
  <c r="W21" i="4"/>
  <c r="U21" i="4"/>
  <c r="S21" i="4"/>
  <c r="N21" i="4"/>
  <c r="K21" i="4"/>
  <c r="Z20" i="4"/>
  <c r="W20" i="4"/>
  <c r="U20" i="4"/>
  <c r="S20" i="4"/>
  <c r="N20" i="4"/>
  <c r="K20" i="4"/>
  <c r="Z19" i="4"/>
  <c r="W19" i="4"/>
  <c r="U19" i="4"/>
  <c r="S19" i="4"/>
  <c r="N19" i="4"/>
  <c r="K19" i="4"/>
  <c r="Z18" i="4"/>
  <c r="W18" i="4"/>
  <c r="U18" i="4"/>
  <c r="S18" i="4"/>
  <c r="N18" i="4"/>
  <c r="K18" i="4"/>
  <c r="Z6" i="4"/>
  <c r="Z7" i="4"/>
  <c r="Z8" i="4"/>
  <c r="Z9" i="4"/>
  <c r="Z10" i="4"/>
  <c r="Z11" i="4"/>
  <c r="Z12" i="4"/>
  <c r="Z13" i="4"/>
  <c r="Z14" i="4"/>
  <c r="Z15" i="4"/>
  <c r="Z16" i="4"/>
  <c r="Z17" i="4"/>
  <c r="Z23" i="4"/>
  <c r="Z24" i="4"/>
  <c r="EW4" i="4" l="1"/>
  <c r="EX3" i="4"/>
  <c r="CL4" i="4"/>
  <c r="CM3" i="4"/>
  <c r="K23" i="4"/>
  <c r="S23" i="4"/>
  <c r="U23" i="4"/>
  <c r="W23" i="4"/>
  <c r="S6" i="4"/>
  <c r="S7" i="4"/>
  <c r="S8" i="4"/>
  <c r="S9" i="4"/>
  <c r="S10" i="4"/>
  <c r="S11" i="4"/>
  <c r="S12" i="4"/>
  <c r="S13" i="4"/>
  <c r="S14" i="4"/>
  <c r="S15" i="4"/>
  <c r="S16" i="4"/>
  <c r="S17" i="4"/>
  <c r="S24" i="4"/>
  <c r="S25" i="4"/>
  <c r="U6" i="4"/>
  <c r="U7" i="4"/>
  <c r="U8" i="4"/>
  <c r="U9" i="4"/>
  <c r="U10" i="4"/>
  <c r="U11" i="4"/>
  <c r="U12" i="4"/>
  <c r="U13" i="4"/>
  <c r="U14" i="4"/>
  <c r="U15" i="4"/>
  <c r="U16" i="4"/>
  <c r="U17" i="4"/>
  <c r="U24" i="4"/>
  <c r="W6" i="4"/>
  <c r="W7" i="4"/>
  <c r="W8" i="4"/>
  <c r="W9" i="4"/>
  <c r="W10" i="4"/>
  <c r="W11" i="4"/>
  <c r="W12" i="4"/>
  <c r="W13" i="4"/>
  <c r="W14" i="4"/>
  <c r="W15" i="4"/>
  <c r="W16" i="4"/>
  <c r="W17" i="4"/>
  <c r="W24" i="4"/>
  <c r="DK3" i="4"/>
  <c r="DK4" i="4" s="1"/>
  <c r="CP3" i="4"/>
  <c r="CP4" i="4" s="1"/>
  <c r="F25" i="4"/>
  <c r="F13" i="3"/>
  <c r="N25" i="4"/>
  <c r="K25" i="4"/>
  <c r="K24" i="4"/>
  <c r="N17" i="4"/>
  <c r="K17" i="4"/>
  <c r="N16" i="4"/>
  <c r="K16" i="4"/>
  <c r="N15" i="4"/>
  <c r="K15" i="4"/>
  <c r="N14" i="4"/>
  <c r="K14" i="4"/>
  <c r="K6" i="4"/>
  <c r="K8" i="4"/>
  <c r="K9" i="4"/>
  <c r="K10" i="4"/>
  <c r="N10" i="4"/>
  <c r="K11" i="4"/>
  <c r="K12" i="4"/>
  <c r="E8" i="3"/>
  <c r="K7" i="4"/>
  <c r="K13" i="4"/>
  <c r="N13" i="4"/>
  <c r="EX4" i="4" l="1"/>
  <c r="EY3" i="4"/>
  <c r="CM4" i="4"/>
  <c r="CN3" i="4"/>
  <c r="W25" i="4"/>
  <c r="Z25" i="4"/>
  <c r="N9" i="4"/>
  <c r="N23" i="4"/>
  <c r="U25" i="4"/>
  <c r="N8" i="4"/>
  <c r="F14" i="3"/>
  <c r="M6" i="4"/>
  <c r="N6" i="4" s="1"/>
  <c r="N12" i="4"/>
  <c r="M24" i="4"/>
  <c r="N24" i="4" s="1"/>
  <c r="N11" i="4"/>
  <c r="N7" i="4"/>
  <c r="CQ3" i="4"/>
  <c r="CQ4" i="4" s="1"/>
  <c r="DL3" i="4"/>
  <c r="EY4" i="4" l="1"/>
  <c r="EZ3" i="4"/>
  <c r="EZ4" i="4" s="1"/>
  <c r="CN4" i="4"/>
  <c r="CO3" i="4"/>
  <c r="CO4" i="4" s="1"/>
  <c r="CR3" i="4"/>
  <c r="CS3" i="4" s="1"/>
  <c r="DL4" i="4"/>
  <c r="DM3" i="4"/>
  <c r="CR4" i="4" l="1"/>
  <c r="CT3" i="4"/>
  <c r="CS4" i="4"/>
  <c r="DN3" i="4"/>
  <c r="DM4" i="4"/>
  <c r="AD15" i="4"/>
  <c r="AD16" i="4"/>
  <c r="AD13" i="4"/>
  <c r="AD14" i="4"/>
  <c r="AD17" i="4"/>
  <c r="DO3" i="4" l="1"/>
  <c r="DN4" i="4"/>
  <c r="CU3" i="4"/>
  <c r="CT4" i="4"/>
  <c r="CU4" i="4" l="1"/>
  <c r="CV3" i="4"/>
  <c r="DO4" i="4"/>
  <c r="DP3" i="4"/>
  <c r="CV4" i="4" l="1"/>
  <c r="CW3" i="4"/>
  <c r="DP4" i="4"/>
  <c r="DQ3" i="4"/>
  <c r="DQ4" i="4" l="1"/>
  <c r="DR3" i="4"/>
  <c r="CX3" i="4"/>
  <c r="CW4" i="4"/>
  <c r="CY3" i="4" l="1"/>
  <c r="CX4" i="4"/>
  <c r="DS3" i="4"/>
  <c r="DR4" i="4"/>
  <c r="DS4" i="4" l="1"/>
  <c r="DT3" i="4"/>
  <c r="CY4" i="4"/>
  <c r="CZ3" i="4"/>
  <c r="CZ4" i="4" l="1"/>
  <c r="DA3" i="4"/>
  <c r="DT4" i="4"/>
  <c r="DU3" i="4"/>
  <c r="DV3" i="4" l="1"/>
  <c r="DU4" i="4"/>
  <c r="DA4" i="4"/>
  <c r="DB3" i="4"/>
  <c r="DC3" i="4" l="1"/>
  <c r="DB4" i="4"/>
  <c r="DV4" i="4"/>
  <c r="DW3" i="4"/>
  <c r="DC4" i="4" l="1"/>
  <c r="DD3" i="4"/>
  <c r="DW4" i="4"/>
  <c r="DX3" i="4"/>
  <c r="DX4" i="4" l="1"/>
  <c r="DY3" i="4"/>
  <c r="DD4" i="4"/>
  <c r="DE3" i="4"/>
  <c r="DF3" i="4" l="1"/>
  <c r="DE4" i="4"/>
  <c r="DZ3" i="4"/>
  <c r="DY4" i="4"/>
  <c r="EA3" i="4" l="1"/>
  <c r="DZ4" i="4"/>
  <c r="DF4" i="4"/>
  <c r="DG3" i="4"/>
  <c r="EA4" i="4" l="1"/>
  <c r="EB3" i="4"/>
  <c r="DG4" i="4"/>
  <c r="DH3" i="4"/>
  <c r="EB4" i="4" l="1"/>
  <c r="EC3" i="4"/>
  <c r="DH4" i="4"/>
  <c r="DI3" i="4"/>
  <c r="DJ3" i="4" l="1"/>
  <c r="DJ4" i="4" s="1"/>
  <c r="DI4" i="4"/>
  <c r="ED3" i="4"/>
  <c r="EC4" i="4"/>
  <c r="AC19" i="4" l="1"/>
  <c r="ED4" i="4"/>
  <c r="EE3" i="4"/>
  <c r="EE4" i="4" s="1"/>
  <c r="AZ3" i="4"/>
  <c r="AE3" i="4"/>
  <c r="AE4" i="4" s="1"/>
  <c r="AC23" i="4" l="1"/>
  <c r="AC20" i="4"/>
  <c r="AC18" i="4"/>
  <c r="AC21" i="4"/>
  <c r="AC22" i="4"/>
  <c r="AC11" i="4"/>
  <c r="AC7" i="4"/>
  <c r="AC15" i="4"/>
  <c r="AC16" i="4"/>
  <c r="AC24" i="4"/>
  <c r="AC12" i="4"/>
  <c r="AC6" i="4"/>
  <c r="AC8" i="4"/>
  <c r="AC9" i="4"/>
  <c r="AC10" i="4"/>
  <c r="AC25" i="4"/>
  <c r="AC17" i="4"/>
  <c r="AC13" i="4"/>
  <c r="AC14" i="4"/>
  <c r="BA3" i="4"/>
  <c r="BA4" i="4" s="1"/>
  <c r="AZ4" i="4"/>
  <c r="AF3" i="4"/>
  <c r="AF4" i="4" s="1"/>
  <c r="AD9" i="4" l="1"/>
  <c r="AD7" i="4"/>
  <c r="H7" i="4" s="1"/>
  <c r="AD10" i="4"/>
  <c r="AD23" i="4"/>
  <c r="H23" i="4" s="1"/>
  <c r="AD19" i="4"/>
  <c r="H19" i="4" s="1"/>
  <c r="AD25" i="4"/>
  <c r="AD21" i="4"/>
  <c r="H21" i="4" s="1"/>
  <c r="AD11" i="4"/>
  <c r="AD24" i="4"/>
  <c r="H24" i="4" s="1"/>
  <c r="AD8" i="4"/>
  <c r="H8" i="4" s="1"/>
  <c r="AD20" i="4"/>
  <c r="H20" i="4" s="1"/>
  <c r="AD6" i="4"/>
  <c r="AD12" i="4"/>
  <c r="H12" i="4" s="1"/>
  <c r="AD18" i="4"/>
  <c r="H18" i="4" s="1"/>
  <c r="AD22" i="4"/>
  <c r="H22" i="4" s="1"/>
  <c r="H15" i="4"/>
  <c r="BB3" i="4"/>
  <c r="BB4" i="4" s="1"/>
  <c r="AG3" i="4"/>
  <c r="AG4" i="4" s="1"/>
  <c r="AB16" i="4"/>
  <c r="AB13" i="4"/>
  <c r="AB17" i="4"/>
  <c r="AB15" i="4"/>
  <c r="AB14" i="4"/>
  <c r="H9" i="4" l="1"/>
  <c r="H17" i="4"/>
  <c r="H11" i="4"/>
  <c r="H16" i="4"/>
  <c r="H10" i="4"/>
  <c r="H6" i="4"/>
  <c r="H25" i="4"/>
  <c r="H14" i="4"/>
  <c r="H13" i="4"/>
  <c r="BC3" i="4"/>
  <c r="BC4" i="4" s="1"/>
  <c r="AH3" i="4"/>
  <c r="AH4" i="4" s="1"/>
  <c r="BD3" i="4" l="1"/>
  <c r="BD4" i="4" s="1"/>
  <c r="AI3" i="4"/>
  <c r="AI4" i="4" s="1"/>
  <c r="BE3" i="4" l="1"/>
  <c r="BE4" i="4" s="1"/>
  <c r="BF3" i="4"/>
  <c r="BF4" i="4" s="1"/>
  <c r="AJ3" i="4"/>
  <c r="AJ4" i="4" s="1"/>
  <c r="BG3" i="4" l="1"/>
  <c r="BG4" i="4" s="1"/>
  <c r="AK3" i="4"/>
  <c r="AK4" i="4" s="1"/>
  <c r="AL3" i="4" l="1"/>
  <c r="AL4" i="4" s="1"/>
  <c r="BH3" i="4"/>
  <c r="BH4" i="4" s="1"/>
  <c r="BI3" i="4" l="1"/>
  <c r="BI4" i="4" s="1"/>
  <c r="AM3" i="4"/>
  <c r="AM4" i="4" s="1"/>
  <c r="BJ3" i="4" l="1"/>
  <c r="BJ4" i="4" s="1"/>
  <c r="AN3" i="4"/>
  <c r="AN4" i="4" s="1"/>
  <c r="BK3" i="4" l="1"/>
  <c r="BK4" i="4" s="1"/>
  <c r="AO3" i="4"/>
  <c r="AO4" i="4" s="1"/>
  <c r="AP3" i="4" l="1"/>
  <c r="AP4" i="4" s="1"/>
  <c r="BL3" i="4"/>
  <c r="BL4" i="4" s="1"/>
  <c r="BM3" i="4" l="1"/>
  <c r="BM4" i="4" s="1"/>
  <c r="AQ3" i="4"/>
  <c r="AQ4" i="4" s="1"/>
  <c r="AR3" i="4" l="1"/>
  <c r="AR4" i="4" s="1"/>
  <c r="BN3" i="4"/>
  <c r="BN4" i="4" s="1"/>
  <c r="AS3" i="4" l="1"/>
  <c r="AS4" i="4" s="1"/>
  <c r="BO3" i="4"/>
  <c r="BO4" i="4" s="1"/>
  <c r="AT3" i="4" l="1"/>
  <c r="AT4" i="4" s="1"/>
  <c r="BP3" i="4"/>
  <c r="BP4" i="4" s="1"/>
  <c r="BQ3" i="4" l="1"/>
  <c r="BQ4" i="4" s="1"/>
  <c r="AU3" i="4"/>
  <c r="AU4" i="4" s="1"/>
  <c r="AV3" i="4" l="1"/>
  <c r="AV4" i="4" s="1"/>
  <c r="BR3" i="4"/>
  <c r="BR4" i="4" s="1"/>
  <c r="AW3" i="4" l="1"/>
  <c r="AW4" i="4" s="1"/>
  <c r="BS3" i="4"/>
  <c r="BS4" i="4" s="1"/>
  <c r="BT3" i="4" l="1"/>
  <c r="BT4" i="4" s="1"/>
  <c r="AX3" i="4"/>
  <c r="AX4" i="4" s="1"/>
  <c r="AB23" i="4" l="1"/>
  <c r="AB22" i="4"/>
  <c r="AB20" i="4"/>
  <c r="AB18" i="4"/>
  <c r="AB21" i="4"/>
  <c r="AB19" i="4"/>
  <c r="AB7" i="4"/>
  <c r="AB11" i="4"/>
  <c r="AB24" i="4"/>
  <c r="AB9" i="4"/>
  <c r="AB8" i="4"/>
  <c r="AB10" i="4"/>
  <c r="AB6" i="4"/>
  <c r="AB12" i="4"/>
  <c r="AB25" i="4"/>
  <c r="AY3" i="4"/>
  <c r="AY4" i="4" s="1"/>
  <c r="AA23" i="4" l="1"/>
  <c r="G23" i="4" s="1"/>
  <c r="AA22" i="4"/>
  <c r="G22" i="4" s="1"/>
  <c r="AA20" i="4"/>
  <c r="G20" i="4" s="1"/>
  <c r="AA21" i="4"/>
  <c r="G21" i="4" s="1"/>
  <c r="AA19" i="4"/>
  <c r="G19" i="4" s="1"/>
  <c r="AA18" i="4"/>
  <c r="G18" i="4" s="1"/>
  <c r="AA9" i="4"/>
  <c r="G9" i="4" s="1"/>
  <c r="AA17" i="4"/>
  <c r="G17" i="4" s="1"/>
  <c r="AA6" i="4"/>
  <c r="G6" i="4" s="1"/>
  <c r="AA10" i="4"/>
  <c r="G10" i="4" s="1"/>
  <c r="AA11" i="4"/>
  <c r="G11" i="4" s="1"/>
  <c r="AA15" i="4"/>
  <c r="G15" i="4" s="1"/>
  <c r="AA8" i="4"/>
  <c r="G8" i="4" s="1"/>
  <c r="AA25" i="4" l="1"/>
  <c r="AA16" i="4"/>
  <c r="AA24" i="4"/>
  <c r="AA7" i="4"/>
  <c r="AA13" i="4"/>
  <c r="AA12" i="4"/>
  <c r="AA14" i="4"/>
  <c r="G12" i="4" l="1"/>
  <c r="G7" i="4"/>
  <c r="G16" i="4"/>
  <c r="G14" i="4"/>
  <c r="G24" i="4"/>
  <c r="G13" i="4"/>
  <c r="G25" i="4"/>
</calcChain>
</file>

<file path=xl/sharedStrings.xml><?xml version="1.0" encoding="utf-8"?>
<sst xmlns="http://schemas.openxmlformats.org/spreadsheetml/2006/main" count="892" uniqueCount="425">
  <si>
    <t>Program Year</t>
  </si>
  <si>
    <t>Discount Rate</t>
  </si>
  <si>
    <t>Sector</t>
  </si>
  <si>
    <t>Efficient Unit</t>
  </si>
  <si>
    <t>Baseline Unit</t>
  </si>
  <si>
    <t>Annual Hours of Use (HOU)</t>
  </si>
  <si>
    <t>Unit Replacement Costs</t>
  </si>
  <si>
    <t>LED Exit Sign</t>
  </si>
  <si>
    <t>Measure Name</t>
  </si>
  <si>
    <t>Delamping</t>
  </si>
  <si>
    <t>No Lamp</t>
  </si>
  <si>
    <t>4' linear fluorescent lamp replacement</t>
  </si>
  <si>
    <t>Efficient Component Life (Hours)</t>
  </si>
  <si>
    <t>Efficient Component Life (years)</t>
  </si>
  <si>
    <t>Baseline Component Life (Hours)</t>
  </si>
  <si>
    <t>Baseline Component Life (years)</t>
  </si>
  <si>
    <t>NA</t>
  </si>
  <si>
    <t>Measure Life (Years)</t>
  </si>
  <si>
    <t>COM</t>
  </si>
  <si>
    <t>Metal Halide Lamp</t>
  </si>
  <si>
    <t>CFL Omni Lamp</t>
  </si>
  <si>
    <t>Measure.Life.Yrs</t>
  </si>
  <si>
    <t>Eff.Life.Yrs</t>
  </si>
  <si>
    <t>Eff.Life.Hrs</t>
  </si>
  <si>
    <t>Base.Life.Hrs</t>
  </si>
  <si>
    <t>Base.Life.Yrs</t>
  </si>
  <si>
    <t>Eff.Equip.Cost</t>
  </si>
  <si>
    <t>Base.Equip.Cost</t>
  </si>
  <si>
    <t>Eff.Labor.Cost</t>
  </si>
  <si>
    <t>Base.Labor.Cost</t>
  </si>
  <si>
    <t>Annual.HOU</t>
  </si>
  <si>
    <t>Measure.Name</t>
  </si>
  <si>
    <t>Efficient.Unit</t>
  </si>
  <si>
    <t>Baseline.Unit</t>
  </si>
  <si>
    <t>Eff.Total.Cost</t>
  </si>
  <si>
    <t>Base.Total.Cost</t>
  </si>
  <si>
    <t xml:space="preserve">   … and &lt;1 years remain in the baseline component life, then annualized baseline O&amp;M costs are (1-remaining baseline life)*(total baseline costs)/(baseline life)</t>
  </si>
  <si>
    <t>CFL Replacement Bulb</t>
  </si>
  <si>
    <t>LED Exit Fixture</t>
  </si>
  <si>
    <t>State</t>
  </si>
  <si>
    <t>Occupation</t>
  </si>
  <si>
    <t>Occupation Code</t>
  </si>
  <si>
    <t>Median Hourly Wage</t>
  </si>
  <si>
    <t>Population (State)</t>
  </si>
  <si>
    <t>MD</t>
  </si>
  <si>
    <t>Maintenance and Repair Workers, General</t>
  </si>
  <si>
    <t>49-9071</t>
  </si>
  <si>
    <t>DC</t>
  </si>
  <si>
    <t>DE</t>
  </si>
  <si>
    <t>Mid-Atlantic Average, weighted by State Population</t>
  </si>
  <si>
    <t>Source: 2010 Census</t>
  </si>
  <si>
    <t>LED Luminaire</t>
  </si>
  <si>
    <t>LED High-Bay Luminaires and Retrofit Kits</t>
  </si>
  <si>
    <t>LED High-Bay Luminaire</t>
  </si>
  <si>
    <t>LED Outdoor Luminaire</t>
  </si>
  <si>
    <t>LED 1x4, 2x2, and 2x4 Luminaires and Retrofit Kits</t>
  </si>
  <si>
    <t>4' T8 lamps replacements per kilolumen</t>
  </si>
  <si>
    <t>LED Garage Luminaire</t>
  </si>
  <si>
    <t>LED Canopy Luminaire</t>
  </si>
  <si>
    <t>LED Lamp</t>
  </si>
  <si>
    <t>CFL Lamp</t>
  </si>
  <si>
    <t>CFL Reflector Lamp</t>
  </si>
  <si>
    <t>CFL A Lamp</t>
  </si>
  <si>
    <t>CFL Candelabra Lamp</t>
  </si>
  <si>
    <t>LED Refrigerated Case Lighting</t>
  </si>
  <si>
    <t>Linear fluorescent lamp (per linear foot)</t>
  </si>
  <si>
    <t>LED lamp (per linear foot)</t>
  </si>
  <si>
    <t>Base Rate Incl. Fringes</t>
  </si>
  <si>
    <t>Rate with O &amp; P</t>
  </si>
  <si>
    <t>Mid-Atlantic Wtd Avg with O &amp; P</t>
  </si>
  <si>
    <t>Trade</t>
  </si>
  <si>
    <t>Hourly</t>
  </si>
  <si>
    <t>Common Building Laborer</t>
  </si>
  <si>
    <t>Electricians</t>
  </si>
  <si>
    <t>Source: Electrical Costs with RSMeans Data 2017</t>
  </si>
  <si>
    <t>Location Factors</t>
  </si>
  <si>
    <t>ZIP</t>
  </si>
  <si>
    <t>City</t>
  </si>
  <si>
    <t>Mat.</t>
  </si>
  <si>
    <t>Inst.</t>
  </si>
  <si>
    <t>Total</t>
  </si>
  <si>
    <t>Population (City)</t>
  </si>
  <si>
    <t>Waldorf</t>
  </si>
  <si>
    <t>207-208</t>
  </si>
  <si>
    <t>College Park</t>
  </si>
  <si>
    <t>Silver Spring</t>
  </si>
  <si>
    <t>210-212</t>
  </si>
  <si>
    <t>Baltimore</t>
  </si>
  <si>
    <t>Annapolis</t>
  </si>
  <si>
    <t>Cumberland</t>
  </si>
  <si>
    <t>Easton</t>
  </si>
  <si>
    <t>Hagerstown</t>
  </si>
  <si>
    <t>Salisbury</t>
  </si>
  <si>
    <t>Elkton</t>
  </si>
  <si>
    <t>Newark</t>
  </si>
  <si>
    <t>Wilmington</t>
  </si>
  <si>
    <t>Dover</t>
  </si>
  <si>
    <t>200-205</t>
  </si>
  <si>
    <t>Washington</t>
  </si>
  <si>
    <t>Pop Wtd AVERAGE</t>
  </si>
  <si>
    <t>LED High-Intensity Discharge Replacements</t>
  </si>
  <si>
    <t>LED HID Replacement</t>
  </si>
  <si>
    <t>Four-pin based (LED) Lamp – Commercial</t>
  </si>
  <si>
    <t>4-pin LED Lamp</t>
  </si>
  <si>
    <t>4-pin CFL Lamp</t>
  </si>
  <si>
    <t>TIME OF SALE - Annualized Efficient O&amp;M Costs, with Labor</t>
  </si>
  <si>
    <t>TIME OF SALE - Annualized Baseline O&amp;M Costs, with Labor</t>
  </si>
  <si>
    <t>LED Parking Garage/Canopy Luminaires &amp; Retrofit Kits (Canopy)</t>
  </si>
  <si>
    <t>LED Parking Garage/Canopy Luminaires &amp; Retrofit Kits (Garage)</t>
  </si>
  <si>
    <t>LED Outdoor Pole/Arm- or Wall-Mounted Area &amp; Roadway Lighting Luminaires &amp; Retrofit Kits</t>
  </si>
  <si>
    <t>Efficient Equipment Cost ($)</t>
  </si>
  <si>
    <t>Efficient Labor Cost ($)</t>
  </si>
  <si>
    <t>Efficient Total Cost ($)</t>
  </si>
  <si>
    <t>Baseline Equipment Cost ($)</t>
  </si>
  <si>
    <t>Baseline Labor Cost ($)</t>
  </si>
  <si>
    <t>Baseline Total Cost ($)</t>
  </si>
  <si>
    <t>Lifetimes</t>
  </si>
  <si>
    <t>EARLY REPLACEMENT - Annualized Efficient O&amp;M Costs, with Labor</t>
  </si>
  <si>
    <t>EARLY REPLACEMENT - Annualized Baseline O&amp;M Costs, with Labor</t>
  </si>
  <si>
    <t>Time of Sale PV Efficient O&amp;M Costs ($)</t>
  </si>
  <si>
    <t>Time of Sale PV Baseline O&amp;M Costs ($)</t>
  </si>
  <si>
    <t>PV.Efficient.TOS</t>
  </si>
  <si>
    <t>PV.Baseline.TOS</t>
  </si>
  <si>
    <t>PV.Efficient.ER</t>
  </si>
  <si>
    <t>PV.Baseline.ER</t>
  </si>
  <si>
    <t>Early Replacement PV Efficient O&amp;M Costs ($)</t>
  </si>
  <si>
    <t>Early Replacement PV Baseline O&amp;M Costs ($)</t>
  </si>
  <si>
    <t>NPV.Measure.TOS</t>
  </si>
  <si>
    <t>NPV.Measure.ER</t>
  </si>
  <si>
    <t>Eff.Annual.Cost.Y00.TOS</t>
  </si>
  <si>
    <t>Eff.Annual.Cost.Y01.TOS</t>
  </si>
  <si>
    <t>Eff.Annual.Cost.Y02.TOS</t>
  </si>
  <si>
    <t>Eff.Annual.Cost.Y03.TOS</t>
  </si>
  <si>
    <t>Eff.Annual.Cost.Y04.TOS</t>
  </si>
  <si>
    <t>Eff.Annual.Cost.Y05.TOS</t>
  </si>
  <si>
    <t>Eff.Annual.Cost.Y06.TOS</t>
  </si>
  <si>
    <t>Eff.Annual.Cost.Y07.TOS</t>
  </si>
  <si>
    <t>Eff.Annual.Cost.Y08.TOS</t>
  </si>
  <si>
    <t>Eff.Annual.Cost.Y09.TOS</t>
  </si>
  <si>
    <t>Eff.Annual.Cost.Y10.TOS</t>
  </si>
  <si>
    <t>Eff.Annual.Cost.Y11.TOS</t>
  </si>
  <si>
    <t>Eff.Annual.Cost.Y12.TOS</t>
  </si>
  <si>
    <t>Eff.Annual.Cost.Y13.TOS</t>
  </si>
  <si>
    <t>Eff.Annual.Cost.Y14.TOS</t>
  </si>
  <si>
    <t>Eff.Annual.Cost.Y15.TOS</t>
  </si>
  <si>
    <t>Eff.Annual.Cost.Y16.TOS</t>
  </si>
  <si>
    <t>Eff.Annual.Cost.Y17.TOS</t>
  </si>
  <si>
    <t>Eff.Annual.Cost.Y18.TOS</t>
  </si>
  <si>
    <t>Eff.Annual.Cost.Y19.TOS</t>
  </si>
  <si>
    <t>Eff.Annual.Cost.Y20.TOS</t>
  </si>
  <si>
    <t>Base.Annual.Cost.Y00.TOS</t>
  </si>
  <si>
    <t>Base.Annual.Cost.Y01.TOS</t>
  </si>
  <si>
    <t>Base.Annual.Cost.Y02.TOS</t>
  </si>
  <si>
    <t>Base.Annual.Cost.Y03.TOS</t>
  </si>
  <si>
    <t>Base.Annual.Cost.Y04.TOS</t>
  </si>
  <si>
    <t>Base.Annual.Cost.Y05.TOS</t>
  </si>
  <si>
    <t>Base.Annual.Cost.Y06.TOS</t>
  </si>
  <si>
    <t>Base.Annual.Cost.Y07.TOS</t>
  </si>
  <si>
    <t>Base.Annual.Cost.Y08.TOS</t>
  </si>
  <si>
    <t>Base.Annual.Cost.Y09.TOS</t>
  </si>
  <si>
    <t>Base.Annual.Cost.Y10.TOS</t>
  </si>
  <si>
    <t>Base.Annual.Cost.Y11.TOS</t>
  </si>
  <si>
    <t>Base.Annual.Cost.Y12.TOS</t>
  </si>
  <si>
    <t>Base.Annual.Cost.Y13.TOS</t>
  </si>
  <si>
    <t>Base.Annual.Cost.Y14.TOS</t>
  </si>
  <si>
    <t>Base.Annual.Cost.Y15.TOS</t>
  </si>
  <si>
    <t>Base.Annual.Cost.Y16.TOS</t>
  </si>
  <si>
    <t>Base.Annual.Cost.Y17.TOS</t>
  </si>
  <si>
    <t>Base.Annual.Cost.Y18.TOS</t>
  </si>
  <si>
    <t>Base.Annual.Cost.Y19.TOS</t>
  </si>
  <si>
    <t>Base.Annual.Cost.Y20.TOS</t>
  </si>
  <si>
    <t>Eff.Annual.Cost.Y00.ER</t>
  </si>
  <si>
    <t>Eff.Annual.Cost.Y01.ER</t>
  </si>
  <si>
    <t>Eff.Annual.Cost.Y02.ER</t>
  </si>
  <si>
    <t>Eff.Annual.Cost.Y03.ER</t>
  </si>
  <si>
    <t>Eff.Annual.Cost.Y04.ER</t>
  </si>
  <si>
    <t>Eff.Annual.Cost.Y05.ER</t>
  </si>
  <si>
    <t>Eff.Annual.Cost.Y06.ER</t>
  </si>
  <si>
    <t>Eff.Annual.Cost.Y07.ER</t>
  </si>
  <si>
    <t>Eff.Annual.Cost.Y08.ER</t>
  </si>
  <si>
    <t>Eff.Annual.Cost.Y09.ER</t>
  </si>
  <si>
    <t>Eff.Annual.Cost.Y10.ER</t>
  </si>
  <si>
    <t>Eff.Annual.Cost.Y11.ER</t>
  </si>
  <si>
    <t>Eff.Annual.Cost.Y12.ER</t>
  </si>
  <si>
    <t>Eff.Annual.Cost.Y13.ER</t>
  </si>
  <si>
    <t>Eff.Annual.Cost.Y14.ER</t>
  </si>
  <si>
    <t>Eff.Annual.Cost.Y15.ER</t>
  </si>
  <si>
    <t>Eff.Annual.Cost.Y16.ER</t>
  </si>
  <si>
    <t>Eff.Annual.Cost.Y17.ER</t>
  </si>
  <si>
    <t>Eff.Annual.Cost.Y18.ER</t>
  </si>
  <si>
    <t>Eff.Annual.Cost.Y19.ER</t>
  </si>
  <si>
    <t>Eff.Annual.Cost.Y20.ER</t>
  </si>
  <si>
    <t>Base.Annual.Cost.Y00.ER</t>
  </si>
  <si>
    <t>Base.Annual.Cost.Y01.ER</t>
  </si>
  <si>
    <t>Base.Annual.Cost.Y02.ER</t>
  </si>
  <si>
    <t>Base.Annual.Cost.Y03.ER</t>
  </si>
  <si>
    <t>Base.Annual.Cost.Y04.ER</t>
  </si>
  <si>
    <t>Base.Annual.Cost.Y05.ER</t>
  </si>
  <si>
    <t>Base.Annual.Cost.Y06.ER</t>
  </si>
  <si>
    <t>Base.Annual.Cost.Y07.ER</t>
  </si>
  <si>
    <t>Base.Annual.Cost.Y08.ER</t>
  </si>
  <si>
    <t>Base.Annual.Cost.Y09.ER</t>
  </si>
  <si>
    <t>Base.Annual.Cost.Y10.ER</t>
  </si>
  <si>
    <t>Base.Annual.Cost.Y11.ER</t>
  </si>
  <si>
    <t>Base.Annual.Cost.Y12.ER</t>
  </si>
  <si>
    <t>Base.Annual.Cost.Y13.ER</t>
  </si>
  <si>
    <t>Base.Annual.Cost.Y14.ER</t>
  </si>
  <si>
    <t>Base.Annual.Cost.Y15.ER</t>
  </si>
  <si>
    <t>Base.Annual.Cost.Y16.ER</t>
  </si>
  <si>
    <t>Base.Annual.Cost.Y17.ER</t>
  </si>
  <si>
    <t>Base.Annual.Cost.Y18.ER</t>
  </si>
  <si>
    <t>Base.Annual.Cost.Y19.ER</t>
  </si>
  <si>
    <t>Base.Annual.Cost.Y20.ER</t>
  </si>
  <si>
    <t>Time of Sale NPV Unit Replacement Benefits Over Measure Life, including Labor</t>
  </si>
  <si>
    <t>Early Replacement NPV Unit Replacement Benefits Over Measure Life, including Labor</t>
  </si>
  <si>
    <t>Present Values - TIME OF SALE</t>
  </si>
  <si>
    <t>Present Values - EARLY REPLACEMENT</t>
  </si>
  <si>
    <t>Formula:</t>
  </si>
  <si>
    <t>If 1+ years remain in the measure life…</t>
  </si>
  <si>
    <t xml:space="preserve">   … and 1+ years remain in the efficient component life, then annualized efficient O&amp;M costs are $0.</t>
  </si>
  <si>
    <t xml:space="preserve">   … and &lt;1 years remain in the efficient component life, then annualized efficient O&amp;M costs are (1-remaining efficient life)*(total efficient costs)/(efficient life)</t>
  </si>
  <si>
    <t>If remaining measure life is between 0 and 1 year (exclusive) ...</t>
  </si>
  <si>
    <t xml:space="preserve">   … then annualized efficient O&amp;M costs are (the lesser of remaining measure life or the remaining measure life less the remaining efficient life)*(total efficient costs)/(efficient life)</t>
  </si>
  <si>
    <t>If 0 years remain in the measure life, then annualized efficient O&amp;M costs are $0.</t>
  </si>
  <si>
    <t>If 0 years remain in the measure life, then annualized baseline O&amp;M costs are $0.</t>
  </si>
  <si>
    <t xml:space="preserve">   … and 1+ years remain in the baseline component life, then annualized baseline O&amp;M costs are $0.</t>
  </si>
  <si>
    <t xml:space="preserve">   … then annualized baseline O&amp;M costs are (the lesser of remaining measure life or the remaining measure life less the remaining baseline life)*(total baseline costs)/(baseline life)</t>
  </si>
  <si>
    <t>The "O&amp;M Calculations" tab contains several large formulas with nested IF() functions.</t>
  </si>
  <si>
    <t>This tab breaks down those formulas in a piecemeal fashion to explain the logic statements and calculations.</t>
  </si>
  <si>
    <t>Formulas:</t>
  </si>
  <si>
    <t>… where AS$4 equals the ordinal program year, which is column-dependent</t>
  </si>
  <si>
    <t>… where X$4 equals the ordinal program year, which is column-dependent</t>
  </si>
  <si>
    <t>… where BN$4 equals the ordinal program year, which is column-dependent</t>
  </si>
  <si>
    <t xml:space="preserve">   … and 1+ years remain in the remaining useful life, then annualized baseline O&amp;M costs are $0.</t>
  </si>
  <si>
    <t xml:space="preserve">   … and &lt;1 years remain in the remaining useful life, then annualized baseline O&amp;M costs are (1-remaining useful life)*(total baseline costs)/(baseline life)</t>
  </si>
  <si>
    <t xml:space="preserve">   … then annualized baseline O&amp;M costs are (the lesser of remaining measure life or the remaining measure life less the remaining useful life)*(total baseline costs)/(baseline life)</t>
  </si>
  <si>
    <t>Note that the remaining measure life = [@[Measure.Life.Yrs]] - CI$4</t>
  </si>
  <si>
    <t>Note that the remaining useful life = [@[Base.RUL.Yrs]] - CI$4</t>
  </si>
  <si>
    <t>… where CI$4 equals the ordinal program year, which is column-dependent</t>
  </si>
  <si>
    <t>Note that the remaining measure life = [@[Measure.Life.Yrs]] - BN$4</t>
  </si>
  <si>
    <t>Note that the remaining efficient compont life = [@[Eff.Life.Yrs]] - BN$4</t>
  </si>
  <si>
    <t>Note that the remaining measure life = [@[Measure.Life.Yrs]] - AS$4</t>
  </si>
  <si>
    <t>Note that the remaining baseline compont life = [@[Base.Life.Yrs]] - AS$4</t>
  </si>
  <si>
    <t>Note that the remaining measure life = [@[Measure.Life.Yrs]] - X$4</t>
  </si>
  <si>
    <t>Note that the remaining efficient component life = [@[Eff.Life.Yrs]] - X$4</t>
  </si>
  <si>
    <t>Sources</t>
  </si>
  <si>
    <t>Assumes $2.25 per lamp from California Work Paper "PGECOLTG179.  LED Ambient Commercial Fixtures and Retrofit Kits. Revision #2" dated 06/01/2016.  http://deeresources.net/workpapers. Assumes 0.089 hours per lamp replacement from "Electrical Costs with RSMeans Data 2017," p.308, and labor costs for a Maintenance &amp; Repair Worker assuming a population weighted average of costs for Mid-Atlantic states for BLS occupation code 49-9071. Assumes typical rated life of 30,000 hours for new linear fluorescent lamp.</t>
  </si>
  <si>
    <t>Assumes straight average of 175W, 250W, and 400W metal halide lamps from webscraping of online product costs conducted in March 2018. Assumes 26.667 hours per 100 lamp replacements from "Electrical Costs with RSMeans Data 2017," p.309, and labor costs for a Maintenance &amp; Repair Worker assuming a population weighted average of costs for Mid-Atlantic states for BLS occupation code 49-9071. Assumes typical rated life of 15,000 hours for new metal halide lamp.</t>
  </si>
  <si>
    <t>Assumes $1.15 per kilolumen from California Work Paper "PGECOLTG179.  LED Ambient Commercial Fixtures and Retrofit Kits. Revision #2" dated 06/01/2016. http://deeresources.net/workpapers. Assumes $2.35 per kilolumen in labor costs from Work Paper PGECOLTG179.  LED Ambient Commercial Fixtures and Retrofit Kits. Revision #2" dated 06/01/2016, adjusted for Mid-Atlantic labor rates. Assumes typical rated life of 30,000 hours for new linear fluorescent lamp.</t>
  </si>
  <si>
    <t>Assumes straight average of 175W, 250W, and 400W metal halide lamps from webscraping of online product costs conducted in March 2018. Assumes 10 minutes per lamp, and labor costs for a Maintenance &amp; Repair Worker assuming a population weighted average of costs for Mid-Atlantic states for BLS occupation code 49-9071. Assumes typical rated life of 15,000 hours for new metal halide lamp.</t>
  </si>
  <si>
    <t>CFL lamp pricing from webscraping of online product costs conducted in March 2018. O&amp;M replacements for one at a time lamps would not include outside labor.  Self-installed labor cost of $0. Assumes typical rated life of 10,000 hours for new CFL lamp.</t>
  </si>
  <si>
    <t>Replacement lamps can typically be purchased for ~$3.38 (based on 2017 Apex analysis). Assuming lamp replacement requires 15 minutes of a maintenance worker's time (RSMeans Electrical Cost Data 2008), the total installed cost would be approximately $10.38. Assumes rated life of fluorescent replacement lamp is 10,000 hours. Assuming annual exit sign operating hours of 8,760, estimated lamp life is 1.14 years. This measure is classified as an Early Replacement in the TRM, but it is assumed that the existing exit sign would have been maintained with new baseline lamps (and ballasts, if required) for the duration of the measure life. Therefore, the TOS O&amp;M methodology is used.</t>
  </si>
  <si>
    <t>Remaining Useful Life (years)</t>
  </si>
  <si>
    <t>RUL.Yrs</t>
  </si>
  <si>
    <t>Post-Shift Baseline Equipment Cost ($)</t>
  </si>
  <si>
    <t>Post-Shift Baseline Total Cost ($)</t>
  </si>
  <si>
    <t>2nd.Base.Equip.Cost</t>
  </si>
  <si>
    <t>2nd.Base.Labor.Cost</t>
  </si>
  <si>
    <t>2nd.Base.Total.Cost</t>
  </si>
  <si>
    <t>2nd.Base.Annual.Cost.Y00.TOS</t>
  </si>
  <si>
    <t>2nd.Base.Annual.Cost.Y01.TOS</t>
  </si>
  <si>
    <t>2nd.Base.Annual.Cost.Y02.TOS</t>
  </si>
  <si>
    <t>2nd.Base.Annual.Cost.Y03.TOS</t>
  </si>
  <si>
    <t>2nd.Base.Annual.Cost.Y04.TOS</t>
  </si>
  <si>
    <t>2nd.Base.Annual.Cost.Y05.TOS</t>
  </si>
  <si>
    <t>2nd.Base.Annual.Cost.Y06.TOS</t>
  </si>
  <si>
    <t>2nd.Base.Annual.Cost.Y07.TOS</t>
  </si>
  <si>
    <t>2nd.Base.Annual.Cost.Y08.TOS</t>
  </si>
  <si>
    <t>2nd.Base.Annual.Cost.Y09.TOS</t>
  </si>
  <si>
    <t>2nd.Base.Annual.Cost.Y10.TOS</t>
  </si>
  <si>
    <t>2nd.Base.Annual.Cost.Y11.TOS</t>
  </si>
  <si>
    <t>2nd.Base.Annual.Cost.Y12.TOS</t>
  </si>
  <si>
    <t>2nd.Base.Annual.Cost.Y13.TOS</t>
  </si>
  <si>
    <t>2nd.Base.Annual.Cost.Y14.TOS</t>
  </si>
  <si>
    <t>2nd.Base.Annual.Cost.Y15.TOS</t>
  </si>
  <si>
    <t>2nd.Base.Annual.Cost.Y16.TOS</t>
  </si>
  <si>
    <t>2nd.Base.Annual.Cost.Y17.TOS</t>
  </si>
  <si>
    <t>2nd.Base.Annual.Cost.Y18.TOS</t>
  </si>
  <si>
    <t>2nd.Base.Annual.Cost.Y19.TOS</t>
  </si>
  <si>
    <t>2nd.Base.Annual.Cost.Y20.TOS</t>
  </si>
  <si>
    <t>TIME OF SALE - Annualized Post-Shift Baseline O&amp;M Costs, with Labor (for measures with baseline shift)</t>
  </si>
  <si>
    <t>Post-Shift Baseline Labor Cost ($)</t>
  </si>
  <si>
    <t>Post-Shift Baseline Component Life (years)</t>
  </si>
  <si>
    <t>Post-Shift Baseline Component Life (hours)</t>
  </si>
  <si>
    <t>2nd.Base.Life.Hrs</t>
  </si>
  <si>
    <t>2nd.Base.Life.Yrs</t>
  </si>
  <si>
    <t>E-STAR Integrated Screw Based SSL (LED) Lamp (Unknown), 2020+</t>
  </si>
  <si>
    <t>E-STAR Integrated Screw Based SSL (LED) Lamp (Globe), 2020+</t>
  </si>
  <si>
    <t>E-STAR Integrated Screw Based SSL (LED) Lamp (Reflector), 2020+</t>
  </si>
  <si>
    <t>E-STAR Integrated Screw Based SSL (LED) Lamp (A Lamp), 2020+</t>
  </si>
  <si>
    <t>E-STAR Integrated Screw Based SSL (LED) Lamp (Candelabra), 2020+</t>
  </si>
  <si>
    <t>E-STAR Integrated Screw Based SSL (LED) Lamp (Unknown), 2018-2019</t>
  </si>
  <si>
    <t>E-STAR Integrated Screw Based SSL (LED) Lamp (Globe), 2018-2019</t>
  </si>
  <si>
    <t>E-STAR Integrated Screw Based SSL (LED) Lamp (Reflector), 2018-2019</t>
  </si>
  <si>
    <t>E-STAR Integrated Screw Based SSL (LED) Lamp (A Lamp), 2018-2019</t>
  </si>
  <si>
    <t>E-STAR Integrated Screw Based SSL (LED) Lamp (Candelabra), 2018-2019</t>
  </si>
  <si>
    <t>Year of Baseline Shift</t>
  </si>
  <si>
    <t>Base.Shift.Year</t>
  </si>
  <si>
    <t>Post-Baseline Shift Unit</t>
  </si>
  <si>
    <t>2nd.Baseline.Unit</t>
  </si>
  <si>
    <t>Incandescent Lamp</t>
  </si>
  <si>
    <t>Incandescent Omni Lamp</t>
  </si>
  <si>
    <t>Incandescent Reflector Lamp</t>
  </si>
  <si>
    <t>Incandescent A Lamp</t>
  </si>
  <si>
    <t>Incandescent Candelabra Lamp</t>
  </si>
  <si>
    <t>EARLY REPLACEMENT - Annualized Post-Shift Baseline O&amp;M Costs, with Labor (for measures with baseline shift)</t>
  </si>
  <si>
    <t>2nd.Base.Annual.Cost.Y00.ER</t>
  </si>
  <si>
    <t>2nd.Base.Annual.Cost.Y01.ER</t>
  </si>
  <si>
    <t>2nd.Base.Annual.Cost.Y02.ER</t>
  </si>
  <si>
    <t>2nd.Base.Annual.Cost.Y03.ER</t>
  </si>
  <si>
    <t>2nd.Base.Annual.Cost.Y04.ER</t>
  </si>
  <si>
    <t>2nd.Base.Annual.Cost.Y05.ER</t>
  </si>
  <si>
    <t>2nd.Base.Annual.Cost.Y06.ER</t>
  </si>
  <si>
    <t>2nd.Base.Annual.Cost.Y07.ER</t>
  </si>
  <si>
    <t>2nd.Base.Annual.Cost.Y08.ER</t>
  </si>
  <si>
    <t>2nd.Base.Annual.Cost.Y09.ER</t>
  </si>
  <si>
    <t>2nd.Base.Annual.Cost.Y10.ER</t>
  </si>
  <si>
    <t>2nd.Base.Annual.Cost.Y11.ER</t>
  </si>
  <si>
    <t>2nd.Base.Annual.Cost.Y12.ER</t>
  </si>
  <si>
    <t>2nd.Base.Annual.Cost.Y13.ER</t>
  </si>
  <si>
    <t>2nd.Base.Annual.Cost.Y14.ER</t>
  </si>
  <si>
    <t>2nd.Base.Annual.Cost.Y15.ER</t>
  </si>
  <si>
    <t>2nd.Base.Annual.Cost.Y16.ER</t>
  </si>
  <si>
    <t>2nd.Base.Annual.Cost.Y17.ER</t>
  </si>
  <si>
    <t>2nd.Base.Annual.Cost.Y18.ER</t>
  </si>
  <si>
    <t>2nd.Base.Annual.Cost.Y19.ER</t>
  </si>
  <si>
    <t>2nd.Base.Annual.Cost.Y20.ER</t>
  </si>
  <si>
    <t>=IF(AND(ISNUMBER([@[Base.Shift.Year]]),[@[Base.Shift.Year]]&gt;ProgramYear),</t>
  </si>
  <si>
    <t xml:space="preserve">      NPV(DiscountRate,OM.Table[@[Base.Annual.Cost.Y00.TOS]:[Base.Annual.Cost.Y20.TOS]]))</t>
  </si>
  <si>
    <t>Otherwise (if baseline shift is not specified), calculate NPV for 1st baseline annual costs only.</t>
  </si>
  <si>
    <t xml:space="preserve">      NPV(DiscountRate,INDIRECT("OM.Table[@[Base.Annual.Cost.Y00.TOS]:[Base.Annual.Cost.Y"&amp;TEXT([@[Base.Shift.Year]]-ProgramYear-1,"00")&amp;".TOS]]"),</t>
  </si>
  <si>
    <t xml:space="preserve">                                             INDIRECT("OM.Table[@[2nd.Base.Annual.Cost.Y"&amp;TEXT([@[Base.Shift.Year]]-ProgramYear,"00")&amp;".TOS]:[2nd.Base.Annual.Cost.Y20.TOS]]")),</t>
  </si>
  <si>
    <t xml:space="preserve">   … Calculate NPV for 1st baseline from the program year through the year before the baseline shift …</t>
  </si>
  <si>
    <t xml:space="preserve">   … and for the 2nd baseline starting at the baseline shift year.</t>
  </si>
  <si>
    <t xml:space="preserve">      NPV(DiscountRate,INDIRECT("OM.Table[@[Base.Annual.Cost.Y00.ER]:[Base.Annual.Cost.Y"&amp;TEXT([@[Base.Shift.Year]]-ProgramYear-1,"00")&amp;".ER]]"),</t>
  </si>
  <si>
    <t xml:space="preserve">      INDIRECT("OM.Table[@[2nd.Base.Annual.Cost.Y"&amp;TEXT([@[Base.Shift.Year]]-ProgramYear,"00")&amp;".ER]:[2nd.Base.Annual.Cost.Y20.ER]]")),</t>
  </si>
  <si>
    <t xml:space="preserve">      NPV(DiscountRate,OM.Table[@[Base.Annual.Cost.Y00.ER]:[Base.Annual.Cost.Y20.ER]]))</t>
  </si>
  <si>
    <t>If a baseline shift year is specified as a numerical year after the program year…</t>
  </si>
  <si>
    <t>If the calculation throws an error due to textual "NA" input, the annualized efficient O&amp;M costs are reported as $0.</t>
  </si>
  <si>
    <t>N</t>
  </si>
  <si>
    <t>Y</t>
  </si>
  <si>
    <t>Baseline Component Life = 1.5 years</t>
  </si>
  <si>
    <t>Efficient Component Life = 3.5 years</t>
  </si>
  <si>
    <t>Annualized component cost = replacement cost / component life</t>
  </si>
  <si>
    <t>Baseline Cost Calculations</t>
  </si>
  <si>
    <t>Efficient Cost Calculations</t>
  </si>
  <si>
    <t>Time of Sale Example</t>
  </si>
  <si>
    <t>Year:</t>
  </si>
  <si>
    <t>Measure life = 5.25 years</t>
  </si>
  <si>
    <t>$0.75
(=$3.00 * 0.25)</t>
  </si>
  <si>
    <t>$0.50
(=$2.00 * 0.25)</t>
  </si>
  <si>
    <t>$1.50
(=$3.00*0.50)</t>
  </si>
  <si>
    <t>Each column represents 3 months</t>
  </si>
  <si>
    <t>Conceptual Examples</t>
  </si>
  <si>
    <r>
      <rPr>
        <b/>
        <sz val="11"/>
        <color theme="1"/>
        <rFont val="Calibri"/>
        <family val="2"/>
        <scheme val="minor"/>
      </rPr>
      <t>Efficient O&amp;M cost by year</t>
    </r>
    <r>
      <rPr>
        <sz val="11"/>
        <color theme="1"/>
        <rFont val="Calibri"/>
        <family val="2"/>
        <scheme val="minor"/>
      </rPr>
      <t>. Note that in shoulder years, the Efficient Cost is a fraction of the Annualized Efficient Cost, proportional to the portion of the year when the cost is applied.</t>
    </r>
  </si>
  <si>
    <r>
      <rPr>
        <b/>
        <sz val="11"/>
        <color theme="1"/>
        <rFont val="Calibri"/>
        <family val="2"/>
        <scheme val="minor"/>
      </rPr>
      <t>Baseline O&amp;M cost by year</t>
    </r>
    <r>
      <rPr>
        <sz val="11"/>
        <color theme="1"/>
        <rFont val="Calibri"/>
        <family val="2"/>
        <scheme val="minor"/>
      </rPr>
      <t>. Note that in shoulder years, the Baseline Cost is a fraction of the Annualized Baseline Cost, proportional to the portion of the year when the cost is applied.</t>
    </r>
  </si>
  <si>
    <t>Early Replacement Example</t>
  </si>
  <si>
    <t>RUL</t>
  </si>
  <si>
    <t>Remaining Useful Life = Baseline Component Life / 3</t>
  </si>
  <si>
    <t>Remaining Useful Life = 1.5 years / 3 = 0.5 years</t>
  </si>
  <si>
    <t>Annualized Baseline Component Cost = $3.00 / 1.5 years = $2.00 / year</t>
  </si>
  <si>
    <t>Annualized Efficient Component Cost = $10.50 / 3.5 years = $3.00 / year</t>
  </si>
  <si>
    <t>RES</t>
  </si>
  <si>
    <t>E-STAR Integrated Screw Based SSL (LED) Lamp (Unknown), Indoor, 2018-2019</t>
  </si>
  <si>
    <t>E-STAR Integrated Screw Based SSL (LED) Lamp (Globe), Indoor, 2018-2019</t>
  </si>
  <si>
    <t>E-STAR Integrated Screw Based SSL (LED) Lamp (Reflector), Indoor, 2018-2019</t>
  </si>
  <si>
    <t>E-STAR Integrated Screw Based SSL (LED) Lamp (A Lamp), Indoor, 2018-2019</t>
  </si>
  <si>
    <t>E-STAR Integrated Screw Based SSL (LED) Lamp (Candelabra), Indoor, 2018-2019</t>
  </si>
  <si>
    <t>E-STAR Integrated Screw Based SSL (LED) Lamp (Unknown), MF Common Area, 2018-2019</t>
  </si>
  <si>
    <t>E-STAR Integrated Screw Based SSL (LED) Lamp (Globe), MF Common Area, 2018-2019</t>
  </si>
  <si>
    <t>E-STAR Integrated Screw Based SSL (LED) Lamp (Reflector), MF Common Area, 2018-2019</t>
  </si>
  <si>
    <t>E-STAR Integrated Screw Based SSL (LED) Lamp (A Lamp), MF Common Area, 2018-2019</t>
  </si>
  <si>
    <t>E-STAR Integrated Screw Based SSL (LED) Lamp (Candelabra), MF Common Area, 2018-2019</t>
  </si>
  <si>
    <t>E-STAR Integrated Screw Based SSL (LED) Lamp (Unknown), Exterior, 2018-2019</t>
  </si>
  <si>
    <t>E-STAR Integrated Screw Based SSL (LED) Lamp (Globe), Exterior, 2018-2019</t>
  </si>
  <si>
    <t>E-STAR Integrated Screw Based SSL (LED) Lamp (Reflector), Exterior, 2018-2019</t>
  </si>
  <si>
    <t>E-STAR Integrated Screw Based SSL (LED) Lamp (A Lamp), Exterior, 2018-2019</t>
  </si>
  <si>
    <t>E-STAR Integrated Screw Based SSL (LED) Lamp (Candelabra), Exterior, 2018-2019</t>
  </si>
  <si>
    <t>Baseline lamp cost assumptions are adapted from analysis provided by Apex Analytics LLC in April 2018.. Assumes 5 hours per 100 lamp replacements from "Electrical Costs with RSMeans Data 2017," p.309, and labor costs for a Maintenance &amp; Repair Worker assuming a population weighted average of costs for Mid-Atlantic states for BLS occupation code 49-9071. Assumes typical rated life of 1,000 hours for new incandescent lamps and 10,000 hours for new CFL lamps.</t>
  </si>
  <si>
    <t>Baseline lamp cost assumptions are adapted from analysis provided by Apex Analytics LLC in April 2018. Assumes 5 hours per 100 lamp replacements from "Electrical Costs with RSMeans Data 2017," p.309, and labor costs for a Maintenance &amp; Repair Worker assuming a population weighted average of costs for Mid-Atlantic states for BLS occupation code 49-9071. Assumes typical rated life of 1,000 hours for new incandescent lamps and 6,000 hours for new CFL lamps.</t>
  </si>
  <si>
    <t>Baseline lamp cost assumptions are adapted from analysis provided by Apex Analytics LLC in April 2018. Assumes 5 hours per 100 lamp replacements from "Electrical Costs with RSMeans Data 2017," p.309, and labor costs for a Maintenance &amp; Repair Worker assuming a population weighted average of costs for Mid-Atlantic states for BLS occupation code 49-9071. Assumes typical rated life of 1,000 hours for new incandescent lamps and 10,000 hours for new CFL lamps.</t>
  </si>
  <si>
    <t>Baseline lamp cost assumptions are adapted from analysis provided by Apex Analytics LLC in April 2018. Assumes zero labor costs for lamp replacement. Assumes typical rated life of 1,000 hours for new incandescent lamps and 10,000 hours for new CFL lamps.</t>
  </si>
  <si>
    <t>Baseline lamp cost assumptions are adapted from analysis provided by Apex Analytics LLC in April 2018. Assumes zero labor costs for lamp replacement. Assumes typical rated life of 1,000 hours for new incandescent lamps and 6,000 hours for new CFL lamps.</t>
  </si>
  <si>
    <r>
      <rPr>
        <b/>
        <sz val="11"/>
        <color theme="1"/>
        <rFont val="Calibri"/>
        <family val="2"/>
        <scheme val="minor"/>
      </rPr>
      <t>Baseline O&amp;M cost by year</t>
    </r>
    <r>
      <rPr>
        <sz val="11"/>
        <color theme="1"/>
        <rFont val="Calibri"/>
        <family val="2"/>
        <scheme val="minor"/>
      </rPr>
      <t>. In shoulder years, the Baseline Cost is a fraction of the Annualized Baseline Cost, proportional to the portion of the year when the cost is applied.</t>
    </r>
  </si>
  <si>
    <r>
      <rPr>
        <b/>
        <sz val="11"/>
        <color theme="1"/>
        <rFont val="Calibri"/>
        <family val="2"/>
        <scheme val="minor"/>
      </rPr>
      <t>Efficient O&amp;M cost by year</t>
    </r>
    <r>
      <rPr>
        <sz val="11"/>
        <color theme="1"/>
        <rFont val="Calibri"/>
        <family val="2"/>
        <scheme val="minor"/>
      </rPr>
      <t>. In shoulder years, the Efficient Cost is a fraction of the Annualized Efficient Cost, proportional to the portion of the year when the cost is applied.</t>
    </r>
  </si>
  <si>
    <t xml:space="preserve">Measure Life                                                                                                                                                                                         </t>
  </si>
  <si>
    <t xml:space="preserve">Measure Life                                                                                                                                                                                              </t>
  </si>
  <si>
    <t>Baseline Component Replacement Cost (incl. labor) = $3.00</t>
  </si>
  <si>
    <t>Efficient Component Replacement Cost (incl. labor) = $10.50</t>
  </si>
  <si>
    <t>Consider the hypothetical measure parameters below:</t>
  </si>
  <si>
    <t>Baseline material costs adapted from California Work Paper "SCE13LG098 Revision 4."  June 8th, 2016. http://deeresources.net/workpapers. Assumes straight average costs per linear foot of all baseline lamps. Assumes each 4 feet per lamp and 8.9 hours per 100 lamps replaced from "Electrical Costs with RSMeans Data 2017," p.308. Labor costs for a Common Building Laborer assume a straight average of costs for Mid-Atlantic cities presented in "Electrical Costs with RSMeans Data 2017," pp.550-551. Assumes typical rated life of 30,000 hours for new linear fluorescent lamp.</t>
  </si>
  <si>
    <t>Annualized costs begin when component life is:</t>
  </si>
  <si>
    <t xml:space="preserve">Efficient Components are getting replaced     </t>
  </si>
  <si>
    <t xml:space="preserve">Baseline Component Life    </t>
  </si>
  <si>
    <t xml:space="preserve">Baseline Components are getting replaced                                                                                   </t>
  </si>
  <si>
    <t xml:space="preserve">Efficient Component Life                                                                                                     </t>
  </si>
  <si>
    <t xml:space="preserve">Baseline Components are getting replaced                                                                                                                             </t>
  </si>
  <si>
    <t>$1.50
(=$2.00 * 0.75)</t>
  </si>
  <si>
    <t xml:space="preserve">Year:  </t>
  </si>
  <si>
    <t>Component replacement costs are annualized because, in reality, components are replaced on a rolling basis instead of on a set schedule.</t>
  </si>
  <si>
    <t>The annualized costs begin to apply at 60% of the component life because, in reality, component lifetimes fall on a distribution and some portion of components will fail before their rated lifetime.</t>
  </si>
  <si>
    <t>=IFERROR(IF([@[Measure.Life.Yrs]]-AE$4&lt;=0,0,</t>
  </si>
  <si>
    <t xml:space="preserve">      IF([@[Measure.Life.Yrs]]-AE$4&gt;=1,</t>
  </si>
  <si>
    <t xml:space="preserve">          IF([@[Eff.Life.Yrs]]*AnnualizedCostStart-AE$4&gt;=1,0,</t>
  </si>
  <si>
    <t xml:space="preserve">              IF([@[Eff.Life.Yrs]]*AnnualizedCostStart-AE$4&gt;=0,(1-([@[Eff.Life.Yrs]]*AnnualizedCostStart-AE$4))*[@[Eff.Total.Cost]]/[@[Eff.Life.Yrs]],[@[Eff.Total.Cost]]/[@[Eff.Life.Yrs]])),</t>
  </si>
  <si>
    <t xml:space="preserve">      IF([@[Measure.Life.Yrs]]-AE$4&gt;0,</t>
  </si>
  <si>
    <t xml:space="preserve">          MIN([@[Measure.Life.Yrs]]-AE$4,[@[Measure.Life.Yrs]]-[@[Eff.Life.Yrs]]*AnnualizedCostStart)*[@[Eff.Total.Cost]]/[@[Eff.Life.Yrs]],0))),0)</t>
  </si>
  <si>
    <t>=IF([@[Measure.Life.Yrs]]-AZ$4&lt;=0,0,</t>
  </si>
  <si>
    <t xml:space="preserve">      IF([@[Measure.Life.Yrs]]-AZ$4&gt;=1,</t>
  </si>
  <si>
    <t xml:space="preserve">          IF([@[Base.Life.Yrs]]*AnnualizedCostStart-AZ$4&gt;=1,0,</t>
  </si>
  <si>
    <t xml:space="preserve">              IF([@[Base.Life.Yrs]]*AnnualizedCostStart-AZ$4&gt;=0,(1-([@[Base.Life.Yrs]]*AnnualizedCostStart-AZ$4))*[@[Base.Total.Cost]]/[@[Base.Life.Yrs]],[@[Base.Total.Cost]]/[@[Base.Life.Yrs]])),</t>
  </si>
  <si>
    <t xml:space="preserve">      IF([@[Measure.Life.Yrs]]-AZ$4&gt;0,</t>
  </si>
  <si>
    <t xml:space="preserve">          MIN([@[Measure.Life.Yrs]]-AZ$4,[@[Measure.Life.Yrs]]-[@[Base.Life.Yrs]]*AnnualizedCostStart)*[@[Base.Total.Cost]]/[@[Base.Life.Yrs]],0)))</t>
  </si>
  <si>
    <t>=IFERROR(IF([@[Measure.Life.Yrs]]-CP$4&lt;=0,0,</t>
  </si>
  <si>
    <t xml:space="preserve">      IF([@[Measure.Life.Yrs]]-CP$4&gt;=1,</t>
  </si>
  <si>
    <t xml:space="preserve">          IF([@[Eff.Life.Yrs]]*AnnualizedCostStart-CP$4&gt;=1,0,</t>
  </si>
  <si>
    <t xml:space="preserve">              IF([@[Eff.Life.Yrs]]*AnnualizedCostStart-CP$4&gt;=0,(1-([@[Eff.Life.Yrs]]*AnnualizedCostStart-CP$4))*[@[Eff.Total.Cost]]/[@[Eff.Life.Yrs]],[@[Eff.Total.Cost]]/[@[Eff.Life.Yrs]])),</t>
  </si>
  <si>
    <t xml:space="preserve">      IF([@[Measure.Life.Yrs]]-CP$4&gt;0,</t>
  </si>
  <si>
    <t xml:space="preserve">          MIN([@[Measure.Life.Yrs]]-CP$4,[@[Measure.Life.Yrs]]-[@[Eff.Life.Yrs]]*AnnualizedCostStart)*[@[Eff.Total.Cost]]/[@[Eff.Life.Yrs]],0))),0)</t>
  </si>
  <si>
    <t>=IF([@[Measure.Life.Yrs]]-DK$4&lt;=0,0,</t>
  </si>
  <si>
    <t xml:space="preserve">      IF([@[Measure.Life.Yrs]]-DK$4&gt;=1,</t>
  </si>
  <si>
    <t xml:space="preserve">          IF([@[RUL.Yrs]]*AnnualizedCostStart-DK$4&gt;=1,0,</t>
  </si>
  <si>
    <t xml:space="preserve">              IF([@[RUL.Yrs]]*AnnualizedCostStart-DK$4&gt;=0,(1-([@[RUL.Yrs]]*AnnualizedCostStart-DK$4))*[@[Base.Total.Cost]]/[@[Base.Life.Yrs]],[@[Base.Total.Cost]]/[@[Base.Life.Yrs]])),</t>
  </si>
  <si>
    <t xml:space="preserve">      IF([@[Measure.Life.Yrs]]-DK$4&gt;0,</t>
  </si>
  <si>
    <t xml:space="preserve">          MIN([@[Measure.Life.Yrs]]-DK$4,[@[Measure.Life.Yrs]]-[@[RUL.Yrs]]*AnnualizedCostStart)*[@[Base.Total.Cost]]/[@[Base.Life.Yrs]],0)))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</si>
</sst>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3" formatCode="_(* #,##0.00_);_(* \(#,##0.00\);_(* &quot;-&quot;??_);_(@_)"/>
    <numFmt numFmtId="164" formatCode="0.0"/>
    <numFmt numFmtId="165" formatCode="&quot;$&quot;#,##0.00"/>
    <numFmt numFmtId="166" formatCode="_(* #,##0_);_(* \(#,##0\);_(*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0"/>
      <name val="Arial"/>
      <family val="2"/>
    </font>
    <font>
      <sz val="10"/>
      <name val="Arial"/>
      <family val="2"/>
    </font>
    <font>
      <sz val="9"/>
      <color theme="1"/>
      <name val="Calibri"/>
      <family val="2"/>
      <scheme val="minor"/>
    </font>
    <font>
      <sz val="10"/>
      <name val="Trebuchet MS"/>
      <family val="2"/>
    </font>
    <font>
      <i/>
      <sz val="11"/>
      <color theme="1"/>
      <name val="Calibri"/>
      <family val="2"/>
      <scheme val="minor"/>
    </font>
    <font>
      <u/>
      <sz val="11"/>
      <color theme="1"/>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333333"/>
        <bgColor indexed="64"/>
      </patternFill>
    </fill>
    <fill>
      <patternFill patternType="solid">
        <fgColor theme="2" tint="-9.9978637043366805E-2"/>
        <bgColor indexed="64"/>
      </patternFill>
    </fill>
  </fills>
  <borders count="25">
    <border>
      <left/>
      <right/>
      <top/>
      <bottom/>
      <diagonal/>
    </border>
    <border>
      <left style="medium">
        <color auto="1"/>
      </left>
      <right/>
      <top/>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dotted">
        <color auto="1"/>
      </right>
      <top style="medium">
        <color auto="1"/>
      </top>
      <bottom style="medium">
        <color auto="1"/>
      </bottom>
      <diagonal/>
    </border>
    <border>
      <left/>
      <right/>
      <top style="medium">
        <color indexed="64"/>
      </top>
      <bottom style="medium">
        <color indexed="64"/>
      </bottom>
      <diagonal/>
    </border>
    <border>
      <left/>
      <right/>
      <top/>
      <bottom style="medium">
        <color indexed="64"/>
      </bottom>
      <diagonal/>
    </border>
    <border>
      <left style="mediumDashed">
        <color auto="1"/>
      </left>
      <right/>
      <top style="medium">
        <color indexed="64"/>
      </top>
      <bottom/>
      <diagonal/>
    </border>
    <border>
      <left/>
      <right/>
      <top style="medium">
        <color indexed="64"/>
      </top>
      <bottom/>
      <diagonal/>
    </border>
    <border>
      <left/>
      <right style="mediumDashed">
        <color auto="1"/>
      </right>
      <top style="medium">
        <color indexed="64"/>
      </top>
      <bottom/>
      <diagonal/>
    </border>
    <border>
      <left style="mediumDashed">
        <color auto="1"/>
      </left>
      <right/>
      <top/>
      <bottom/>
      <diagonal/>
    </border>
    <border>
      <left/>
      <right style="mediumDashed">
        <color auto="1"/>
      </right>
      <top/>
      <bottom/>
      <diagonal/>
    </border>
    <border>
      <left style="mediumDashed">
        <color auto="1"/>
      </left>
      <right/>
      <top/>
      <bottom style="medium">
        <color indexed="64"/>
      </bottom>
      <diagonal/>
    </border>
    <border>
      <left/>
      <right style="mediumDashed">
        <color auto="1"/>
      </right>
      <top/>
      <bottom style="medium">
        <color indexed="64"/>
      </bottom>
      <diagonal/>
    </border>
    <border>
      <left style="mediumDashed">
        <color auto="1"/>
      </left>
      <right/>
      <top style="mediumDashed">
        <color auto="1"/>
      </top>
      <bottom style="medium">
        <color indexed="64"/>
      </bottom>
      <diagonal/>
    </border>
    <border>
      <left/>
      <right/>
      <top style="mediumDashed">
        <color auto="1"/>
      </top>
      <bottom style="medium">
        <color indexed="64"/>
      </bottom>
      <diagonal/>
    </border>
    <border>
      <left/>
      <right style="mediumDashed">
        <color auto="1"/>
      </right>
      <top style="mediumDashed">
        <color auto="1"/>
      </top>
      <bottom style="medium">
        <color indexed="64"/>
      </bottom>
      <diagonal/>
    </border>
    <border>
      <left style="mediumDashed">
        <color auto="1"/>
      </left>
      <right/>
      <top style="medium">
        <color indexed="64"/>
      </top>
      <bottom style="medium">
        <color indexed="64"/>
      </bottom>
      <diagonal/>
    </border>
    <border>
      <left/>
      <right style="mediumDashed">
        <color auto="1"/>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style="medium">
        <color auto="1"/>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2">
    <xf numFmtId="0" fontId="0" fillId="0" borderId="0" xfId="0"/>
    <xf numFmtId="9" fontId="0" fillId="0" borderId="0" xfId="0" applyNumberFormat="1"/>
    <xf numFmtId="0" fontId="0" fillId="0" borderId="0" xfId="0" applyAlignment="1">
      <alignment wrapText="1"/>
    </xf>
    <xf numFmtId="2" fontId="0" fillId="0" borderId="0" xfId="0" applyNumberFormat="1"/>
    <xf numFmtId="0" fontId="0" fillId="3" borderId="0" xfId="0" applyFill="1"/>
    <xf numFmtId="164" fontId="0" fillId="7" borderId="0" xfId="0" applyNumberFormat="1" applyFill="1"/>
    <xf numFmtId="2" fontId="0" fillId="0" borderId="1" xfId="0" applyNumberFormat="1" applyBorder="1"/>
    <xf numFmtId="0" fontId="0" fillId="0" borderId="0" xfId="0" applyAlignment="1">
      <alignment horizontal="right"/>
    </xf>
    <xf numFmtId="0" fontId="0" fillId="0" borderId="0" xfId="0" applyBorder="1"/>
    <xf numFmtId="0" fontId="0" fillId="7" borderId="1" xfId="0" applyFill="1" applyBorder="1"/>
    <xf numFmtId="0" fontId="0" fillId="7" borderId="0" xfId="0" applyFill="1"/>
    <xf numFmtId="0" fontId="0" fillId="7" borderId="2" xfId="0" applyFill="1" applyBorder="1"/>
    <xf numFmtId="2" fontId="0" fillId="0" borderId="0" xfId="0" applyNumberFormat="1" applyBorder="1"/>
    <xf numFmtId="8" fontId="0" fillId="7" borderId="1" xfId="0" applyNumberFormat="1" applyFill="1" applyBorder="1"/>
    <xf numFmtId="8" fontId="0" fillId="7" borderId="0" xfId="0" applyNumberFormat="1" applyFill="1"/>
    <xf numFmtId="0" fontId="2" fillId="3" borderId="0" xfId="0" applyFont="1" applyFill="1"/>
    <xf numFmtId="0" fontId="2" fillId="2" borderId="1" xfId="0" applyFont="1" applyFill="1" applyBorder="1" applyAlignment="1">
      <alignment wrapText="1"/>
    </xf>
    <xf numFmtId="0" fontId="2" fillId="2" borderId="0" xfId="0" applyFont="1" applyFill="1" applyAlignment="1">
      <alignment wrapText="1"/>
    </xf>
    <xf numFmtId="0" fontId="2" fillId="4" borderId="1" xfId="0" applyFont="1" applyFill="1" applyBorder="1" applyAlignment="1">
      <alignment wrapText="1"/>
    </xf>
    <xf numFmtId="0" fontId="2" fillId="4" borderId="0" xfId="0" applyFont="1" applyFill="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6" borderId="0" xfId="0" applyFont="1" applyFill="1" applyAlignment="1">
      <alignment wrapText="1"/>
    </xf>
    <xf numFmtId="0" fontId="2" fillId="6" borderId="2" xfId="0" applyFont="1" applyFill="1" applyBorder="1" applyAlignment="1">
      <alignment wrapText="1"/>
    </xf>
    <xf numFmtId="0" fontId="4" fillId="0" borderId="0" xfId="0" applyFont="1" applyAlignment="1">
      <alignment wrapText="1"/>
    </xf>
    <xf numFmtId="8" fontId="0" fillId="3" borderId="0" xfId="0" applyNumberFormat="1" applyFill="1"/>
    <xf numFmtId="3" fontId="0" fillId="3" borderId="0" xfId="0" applyNumberFormat="1" applyFill="1"/>
    <xf numFmtId="0" fontId="4" fillId="0" borderId="0" xfId="0" applyFont="1"/>
    <xf numFmtId="0" fontId="4" fillId="0" borderId="0" xfId="0" applyFont="1" applyAlignment="1">
      <alignment horizontal="right"/>
    </xf>
    <xf numFmtId="8" fontId="0" fillId="0" borderId="3" xfId="0" applyNumberFormat="1" applyBorder="1"/>
    <xf numFmtId="0" fontId="5" fillId="0" borderId="0" xfId="0" applyFont="1"/>
    <xf numFmtId="0" fontId="0" fillId="0" borderId="0" xfId="0" applyFill="1"/>
    <xf numFmtId="0" fontId="2" fillId="3" borderId="1" xfId="0" applyFont="1" applyFill="1" applyBorder="1" applyAlignment="1">
      <alignment wrapText="1"/>
    </xf>
    <xf numFmtId="0" fontId="2" fillId="3" borderId="0" xfId="0" applyFont="1" applyFill="1" applyAlignment="1">
      <alignment wrapText="1"/>
    </xf>
    <xf numFmtId="2" fontId="0" fillId="0" borderId="1" xfId="0" applyNumberFormat="1" applyFill="1" applyBorder="1"/>
    <xf numFmtId="0" fontId="4" fillId="3" borderId="0" xfId="0" applyFont="1" applyFill="1"/>
    <xf numFmtId="0" fontId="4" fillId="3" borderId="0" xfId="0" applyFont="1" applyFill="1" applyAlignment="1">
      <alignment wrapText="1"/>
    </xf>
    <xf numFmtId="1" fontId="0" fillId="0" borderId="0" xfId="0" applyNumberFormat="1"/>
    <xf numFmtId="2" fontId="0" fillId="3" borderId="0" xfId="0" applyNumberFormat="1" applyFill="1"/>
    <xf numFmtId="0" fontId="5" fillId="3" borderId="0" xfId="0" applyFont="1" applyFill="1"/>
    <xf numFmtId="0" fontId="4" fillId="8" borderId="0" xfId="0" applyFont="1" applyFill="1"/>
    <xf numFmtId="0" fontId="0" fillId="3" borderId="0" xfId="0" applyFill="1" applyAlignment="1">
      <alignment horizontal="right"/>
    </xf>
    <xf numFmtId="0" fontId="0" fillId="8" borderId="0" xfId="0" applyFill="1"/>
    <xf numFmtId="164" fontId="0" fillId="3" borderId="0" xfId="0" applyNumberFormat="1" applyFill="1"/>
    <xf numFmtId="2" fontId="0" fillId="0" borderId="2" xfId="0" applyNumberFormat="1" applyBorder="1"/>
    <xf numFmtId="2" fontId="0" fillId="0" borderId="0" xfId="0" applyNumberFormat="1" applyFill="1" applyBorder="1"/>
    <xf numFmtId="166" fontId="0" fillId="0" borderId="0" xfId="1" applyNumberFormat="1" applyFont="1"/>
    <xf numFmtId="165" fontId="0" fillId="0" borderId="1" xfId="0" applyNumberFormat="1" applyBorder="1" applyAlignment="1">
      <alignment horizontal="right"/>
    </xf>
    <xf numFmtId="165" fontId="0" fillId="0" borderId="0" xfId="0" applyNumberFormat="1" applyAlignment="1">
      <alignment horizontal="right"/>
    </xf>
    <xf numFmtId="165" fontId="0" fillId="7" borderId="0" xfId="0" applyNumberFormat="1" applyFill="1" applyAlignment="1">
      <alignment horizontal="right"/>
    </xf>
    <xf numFmtId="0" fontId="0" fillId="0" borderId="1" xfId="0" applyBorder="1" applyAlignment="1">
      <alignment horizontal="right"/>
    </xf>
    <xf numFmtId="164" fontId="0" fillId="7" borderId="0" xfId="0" applyNumberFormat="1" applyFill="1" applyAlignment="1">
      <alignment horizontal="right"/>
    </xf>
    <xf numFmtId="166" fontId="0" fillId="0" borderId="0" xfId="1" applyNumberFormat="1" applyFont="1" applyAlignment="1">
      <alignment horizontal="right"/>
    </xf>
    <xf numFmtId="0" fontId="2" fillId="5" borderId="0" xfId="0" applyFont="1" applyFill="1" applyBorder="1" applyAlignment="1">
      <alignment wrapText="1"/>
    </xf>
    <xf numFmtId="0" fontId="2" fillId="5" borderId="2" xfId="0" applyFont="1" applyFill="1" applyBorder="1" applyAlignment="1">
      <alignment wrapText="1"/>
    </xf>
    <xf numFmtId="0" fontId="3" fillId="7" borderId="0" xfId="0" applyFont="1" applyFill="1"/>
    <xf numFmtId="2" fontId="0" fillId="0" borderId="2" xfId="0" applyNumberFormat="1" applyFill="1" applyBorder="1"/>
    <xf numFmtId="2" fontId="0" fillId="0" borderId="0" xfId="0" applyNumberFormat="1" applyFill="1"/>
    <xf numFmtId="0" fontId="2" fillId="4" borderId="2" xfId="0" applyFont="1" applyFill="1" applyBorder="1" applyAlignment="1">
      <alignment wrapText="1"/>
    </xf>
    <xf numFmtId="0" fontId="3" fillId="0" borderId="0" xfId="0" applyFont="1"/>
    <xf numFmtId="0" fontId="6" fillId="0" borderId="0" xfId="0" applyFont="1"/>
    <xf numFmtId="0" fontId="6" fillId="0" borderId="0" xfId="0" quotePrefix="1" applyFont="1"/>
    <xf numFmtId="0" fontId="6" fillId="0" borderId="0" xfId="0" applyFont="1" applyBorder="1"/>
    <xf numFmtId="8" fontId="0" fillId="7" borderId="2" xfId="0" applyNumberFormat="1" applyFill="1" applyBorder="1"/>
    <xf numFmtId="0" fontId="0" fillId="9" borderId="0" xfId="0" applyFill="1" applyAlignment="1">
      <alignment horizontal="left"/>
    </xf>
    <xf numFmtId="9" fontId="0" fillId="9" borderId="0" xfId="0" applyNumberFormat="1" applyFill="1" applyAlignment="1">
      <alignment horizontal="left"/>
    </xf>
    <xf numFmtId="0" fontId="3" fillId="11" borderId="1" xfId="0" applyFont="1" applyFill="1" applyBorder="1"/>
    <xf numFmtId="0" fontId="3" fillId="11" borderId="0" xfId="0" applyFont="1" applyFill="1"/>
    <xf numFmtId="0" fontId="0" fillId="11" borderId="1" xfId="0" applyFill="1" applyBorder="1"/>
    <xf numFmtId="0" fontId="0" fillId="11" borderId="0" xfId="0" applyFill="1"/>
    <xf numFmtId="0" fontId="3" fillId="12" borderId="1" xfId="0" applyFont="1" applyFill="1" applyBorder="1"/>
    <xf numFmtId="0" fontId="3" fillId="12" borderId="0" xfId="0" applyFont="1" applyFill="1"/>
    <xf numFmtId="0" fontId="3" fillId="14" borderId="1" xfId="0" applyFont="1" applyFill="1" applyBorder="1"/>
    <xf numFmtId="0" fontId="3" fillId="14" borderId="0" xfId="0" applyFont="1" applyFill="1"/>
    <xf numFmtId="0" fontId="3" fillId="14" borderId="2" xfId="0" applyFont="1" applyFill="1" applyBorder="1"/>
    <xf numFmtId="0" fontId="3" fillId="15" borderId="1" xfId="0" applyFont="1" applyFill="1" applyBorder="1"/>
    <xf numFmtId="0" fontId="3" fillId="15" borderId="0" xfId="0" applyFont="1" applyFill="1"/>
    <xf numFmtId="0" fontId="3" fillId="16" borderId="1" xfId="0" applyFont="1" applyFill="1" applyBorder="1"/>
    <xf numFmtId="0" fontId="3" fillId="16" borderId="0" xfId="0" applyFont="1" applyFill="1"/>
    <xf numFmtId="0" fontId="3" fillId="16" borderId="2" xfId="0" applyFont="1" applyFill="1" applyBorder="1"/>
    <xf numFmtId="0" fontId="3" fillId="13" borderId="1" xfId="0" applyFont="1" applyFill="1" applyBorder="1"/>
    <xf numFmtId="0" fontId="3" fillId="13" borderId="0" xfId="0" applyFont="1" applyFill="1"/>
    <xf numFmtId="0" fontId="2" fillId="10" borderId="1" xfId="0" applyFont="1" applyFill="1" applyBorder="1" applyAlignment="1">
      <alignment wrapText="1"/>
    </xf>
    <xf numFmtId="0" fontId="2" fillId="10" borderId="0" xfId="0" applyFont="1" applyFill="1" applyBorder="1" applyAlignment="1">
      <alignment wrapText="1"/>
    </xf>
    <xf numFmtId="0" fontId="2" fillId="10" borderId="2" xfId="0" applyFont="1" applyFill="1" applyBorder="1" applyAlignment="1">
      <alignment wrapText="1"/>
    </xf>
    <xf numFmtId="0" fontId="2" fillId="2" borderId="2" xfId="0" applyFont="1" applyFill="1" applyBorder="1" applyAlignment="1">
      <alignment wrapText="1"/>
    </xf>
    <xf numFmtId="0" fontId="3" fillId="12" borderId="2" xfId="0" applyFont="1" applyFill="1" applyBorder="1"/>
    <xf numFmtId="165" fontId="0" fillId="0" borderId="0" xfId="0" applyNumberFormat="1" applyFill="1" applyAlignment="1">
      <alignment horizontal="right"/>
    </xf>
    <xf numFmtId="0" fontId="2" fillId="2" borderId="0" xfId="0" applyFont="1" applyFill="1" applyBorder="1" applyAlignment="1">
      <alignment wrapText="1"/>
    </xf>
    <xf numFmtId="0" fontId="3" fillId="12" borderId="0" xfId="0" applyFont="1" applyFill="1" applyBorder="1"/>
    <xf numFmtId="164" fontId="0" fillId="0" borderId="0" xfId="0" applyNumberFormat="1" applyFill="1" applyAlignment="1">
      <alignment horizontal="right"/>
    </xf>
    <xf numFmtId="1" fontId="0" fillId="0" borderId="0" xfId="0" applyNumberFormat="1" applyFill="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2" fontId="0" fillId="0" borderId="2" xfId="0" applyNumberFormat="1" applyBorder="1" applyAlignment="1">
      <alignment horizontal="right"/>
    </xf>
    <xf numFmtId="2" fontId="7" fillId="0" borderId="0" xfId="0" applyNumberFormat="1" applyFont="1"/>
    <xf numFmtId="2" fontId="7" fillId="0" borderId="0" xfId="0" applyNumberFormat="1" applyFont="1" applyFill="1" applyBorder="1"/>
    <xf numFmtId="0" fontId="3" fillId="14" borderId="0" xfId="0" applyFont="1" applyFill="1" applyBorder="1"/>
    <xf numFmtId="0" fontId="2" fillId="4" borderId="0" xfId="0" applyFont="1" applyFill="1" applyBorder="1" applyAlignment="1">
      <alignment wrapText="1"/>
    </xf>
    <xf numFmtId="0" fontId="7" fillId="0" borderId="0" xfId="0" applyFont="1" applyAlignment="1">
      <alignment horizontal="right"/>
    </xf>
    <xf numFmtId="2" fontId="0" fillId="0" borderId="0" xfId="0" applyNumberFormat="1" applyAlignment="1">
      <alignment horizontal="right"/>
    </xf>
    <xf numFmtId="0" fontId="7" fillId="0" borderId="0" xfId="0" applyFont="1" applyFill="1" applyBorder="1" applyAlignment="1">
      <alignment horizontal="right"/>
    </xf>
    <xf numFmtId="0" fontId="0" fillId="0" borderId="2" xfId="0" applyBorder="1" applyAlignment="1">
      <alignment wrapText="1"/>
    </xf>
    <xf numFmtId="0" fontId="0" fillId="0" borderId="0" xfId="0" applyAlignment="1">
      <alignment horizontal="left"/>
    </xf>
    <xf numFmtId="0" fontId="0" fillId="0" borderId="0" xfId="0" applyAlignment="1">
      <alignment horizontal="left" wrapText="1"/>
    </xf>
    <xf numFmtId="0" fontId="0" fillId="2" borderId="4" xfId="0" applyFill="1" applyBorder="1" applyAlignment="1">
      <alignment horizontal="left"/>
    </xf>
    <xf numFmtId="0" fontId="0" fillId="6" borderId="4" xfId="0" applyFill="1" applyBorder="1"/>
    <xf numFmtId="0" fontId="0" fillId="6" borderId="5" xfId="0" applyFill="1" applyBorder="1"/>
    <xf numFmtId="0" fontId="0" fillId="0" borderId="0" xfId="0" applyBorder="1" applyAlignment="1">
      <alignment horizontal="left"/>
    </xf>
    <xf numFmtId="0" fontId="0" fillId="3" borderId="4" xfId="0" applyFill="1" applyBorder="1"/>
    <xf numFmtId="0" fontId="0" fillId="4" borderId="6" xfId="0" applyFill="1" applyBorder="1"/>
    <xf numFmtId="0" fontId="0" fillId="2" borderId="7" xfId="0" applyFill="1" applyBorder="1" applyAlignment="1">
      <alignment horizontal="left"/>
    </xf>
    <xf numFmtId="0" fontId="8" fillId="0" borderId="0" xfId="0" applyFont="1"/>
    <xf numFmtId="0" fontId="3" fillId="0" borderId="0" xfId="0" applyFont="1" applyAlignment="1">
      <alignment wrapText="1"/>
    </xf>
    <xf numFmtId="0" fontId="0" fillId="3" borderId="7" xfId="0" applyFill="1" applyBorder="1"/>
    <xf numFmtId="0" fontId="0" fillId="4" borderId="7" xfId="0" applyFill="1" applyBorder="1"/>
    <xf numFmtId="0" fontId="0" fillId="0" borderId="0" xfId="0" applyFill="1" applyBorder="1" applyAlignment="1">
      <alignment horizontal="left"/>
    </xf>
    <xf numFmtId="0" fontId="0" fillId="3" borderId="5" xfId="0" applyFill="1" applyBorder="1"/>
    <xf numFmtId="8" fontId="0" fillId="7" borderId="0" xfId="1" applyNumberFormat="1" applyFont="1" applyFill="1" applyBorder="1"/>
    <xf numFmtId="8" fontId="0" fillId="7" borderId="0" xfId="0" applyNumberFormat="1" applyFill="1" applyBorder="1"/>
    <xf numFmtId="165" fontId="0" fillId="7" borderId="0" xfId="0" applyNumberFormat="1" applyFill="1" applyBorder="1" applyAlignment="1">
      <alignment horizontal="right"/>
    </xf>
    <xf numFmtId="164" fontId="0" fillId="7" borderId="0" xfId="0" applyNumberFormat="1" applyFill="1" applyBorder="1" applyAlignment="1">
      <alignment horizontal="right"/>
    </xf>
    <xf numFmtId="164" fontId="0" fillId="7" borderId="0" xfId="0" applyNumberFormat="1" applyFill="1" applyBorder="1"/>
    <xf numFmtId="0" fontId="0" fillId="0" borderId="0" xfId="0" applyNumberFormat="1" applyAlignment="1">
      <alignment horizontal="right"/>
    </xf>
    <xf numFmtId="0" fontId="0" fillId="0" borderId="0" xfId="0" applyNumberFormat="1" applyBorder="1" applyAlignment="1">
      <alignment horizontal="right"/>
    </xf>
    <xf numFmtId="0" fontId="0" fillId="19" borderId="0" xfId="0" applyFill="1" applyAlignment="1">
      <alignment wrapText="1"/>
    </xf>
    <xf numFmtId="0" fontId="0" fillId="19" borderId="0" xfId="0" applyFill="1" applyBorder="1"/>
    <xf numFmtId="0" fontId="0" fillId="19" borderId="0" xfId="0" applyFill="1"/>
    <xf numFmtId="0" fontId="0" fillId="17" borderId="8" xfId="0" applyFill="1" applyBorder="1" applyAlignment="1">
      <alignment horizontal="center" vertical="center"/>
    </xf>
    <xf numFmtId="0" fontId="0" fillId="16" borderId="8" xfId="0"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0" fillId="16" borderId="15" xfId="0" applyFill="1" applyBorder="1" applyAlignment="1">
      <alignment horizontal="center" vertical="center"/>
    </xf>
    <xf numFmtId="0" fontId="0" fillId="16" borderId="14" xfId="0" applyFill="1" applyBorder="1" applyAlignment="1">
      <alignment horizontal="center" vertical="center"/>
    </xf>
    <xf numFmtId="0" fontId="0" fillId="0" borderId="0" xfId="0" applyFill="1" applyBorder="1"/>
    <xf numFmtId="0" fontId="0" fillId="2" borderId="19" xfId="0" applyFill="1" applyBorder="1" applyAlignment="1">
      <alignment horizontal="left"/>
    </xf>
    <xf numFmtId="0" fontId="0" fillId="2" borderId="20" xfId="0" applyFill="1" applyBorder="1" applyAlignment="1">
      <alignment horizontal="left"/>
    </xf>
    <xf numFmtId="0" fontId="0" fillId="3" borderId="19" xfId="0" applyFill="1" applyBorder="1"/>
    <xf numFmtId="0" fontId="0" fillId="3" borderId="20" xfId="0" applyFill="1" applyBorder="1"/>
    <xf numFmtId="0" fontId="0" fillId="4" borderId="20" xfId="0" applyFill="1" applyBorder="1"/>
    <xf numFmtId="0" fontId="0" fillId="4" borderId="19" xfId="0" applyFill="1" applyBorder="1"/>
    <xf numFmtId="0" fontId="0" fillId="2" borderId="24" xfId="0" applyFill="1" applyBorder="1" applyAlignment="1">
      <alignment horizontal="left"/>
    </xf>
    <xf numFmtId="0" fontId="0" fillId="0" borderId="13" xfId="0" applyFill="1" applyBorder="1" applyAlignment="1">
      <alignment horizontal="left"/>
    </xf>
    <xf numFmtId="0" fontId="0" fillId="4" borderId="24" xfId="0" applyFill="1" applyBorder="1"/>
    <xf numFmtId="0" fontId="0" fillId="0" borderId="13" xfId="0" applyFill="1" applyBorder="1"/>
    <xf numFmtId="0" fontId="0" fillId="0" borderId="12" xfId="0" applyBorder="1" applyAlignment="1">
      <alignment horizontal="left"/>
    </xf>
    <xf numFmtId="0" fontId="9" fillId="0" borderId="0" xfId="0" applyFont="1"/>
    <xf numFmtId="0" fontId="0" fillId="20" borderId="6" xfId="0" applyFill="1" applyBorder="1"/>
    <xf numFmtId="0" fontId="0" fillId="20" borderId="20" xfId="0" applyFill="1" applyBorder="1"/>
    <xf numFmtId="0" fontId="0" fillId="20" borderId="19" xfId="0" applyFill="1" applyBorder="1"/>
    <xf numFmtId="0" fontId="0" fillId="20" borderId="7" xfId="0" applyFill="1" applyBorder="1"/>
    <xf numFmtId="0" fontId="0" fillId="20" borderId="24" xfId="0" applyFill="1" applyBorder="1"/>
    <xf numFmtId="0" fontId="0" fillId="0" borderId="12" xfId="0" applyFill="1" applyBorder="1"/>
    <xf numFmtId="0" fontId="0" fillId="0" borderId="0" xfId="0" applyBorder="1" applyAlignment="1">
      <alignment horizontal="right"/>
    </xf>
    <xf numFmtId="9" fontId="0" fillId="9" borderId="0" xfId="0" applyNumberFormat="1" applyFill="1" applyBorder="1" applyAlignment="1">
      <alignment horizontal="left"/>
    </xf>
    <xf numFmtId="0" fontId="0" fillId="16" borderId="4" xfId="0" applyFill="1" applyBorder="1" applyAlignment="1"/>
    <xf numFmtId="0" fontId="0" fillId="16" borderId="7" xfId="0" applyFill="1" applyBorder="1" applyAlignment="1"/>
    <xf numFmtId="0" fontId="0" fillId="16" borderId="5" xfId="0" applyFill="1" applyBorder="1" applyAlignment="1"/>
    <xf numFmtId="0" fontId="3" fillId="0" borderId="0" xfId="0" applyFont="1" applyAlignment="1">
      <alignment horizontal="left" wrapText="1"/>
    </xf>
    <xf numFmtId="0" fontId="3" fillId="0" borderId="0" xfId="0" applyFont="1" applyAlignment="1">
      <alignment horizontal="right" wrapText="1"/>
    </xf>
    <xf numFmtId="0" fontId="0" fillId="0" borderId="0" xfId="0" applyAlignment="1">
      <alignment horizontal="center" wrapText="1"/>
    </xf>
    <xf numFmtId="0" fontId="0" fillId="3" borderId="0" xfId="0" applyFill="1" applyAlignment="1">
      <alignment horizontal="center" wrapText="1"/>
    </xf>
    <xf numFmtId="0" fontId="0" fillId="3" borderId="1" xfId="0" applyFill="1" applyBorder="1" applyAlignment="1">
      <alignment horizontal="center" wrapText="1"/>
    </xf>
    <xf numFmtId="0" fontId="0" fillId="0" borderId="2" xfId="0"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2" borderId="2" xfId="0" applyFill="1" applyBorder="1" applyAlignment="1">
      <alignment horizontal="center" wrapText="1"/>
    </xf>
    <xf numFmtId="0" fontId="0" fillId="2" borderId="0" xfId="0" applyFill="1" applyAlignment="1">
      <alignment horizontal="center" wrapText="1"/>
    </xf>
    <xf numFmtId="0" fontId="0" fillId="2" borderId="1" xfId="0" applyFill="1" applyBorder="1" applyAlignment="1">
      <alignment horizontal="center" wrapText="1"/>
    </xf>
    <xf numFmtId="0" fontId="0" fillId="3" borderId="2" xfId="0" applyFill="1" applyBorder="1" applyAlignment="1">
      <alignment horizontal="center" wrapText="1"/>
    </xf>
    <xf numFmtId="6" fontId="0" fillId="17" borderId="4" xfId="0" applyNumberFormat="1" applyFill="1" applyBorder="1" applyAlignment="1">
      <alignment horizontal="center" vertical="center"/>
    </xf>
    <xf numFmtId="6" fontId="0" fillId="17" borderId="7" xfId="0" applyNumberFormat="1" applyFill="1" applyBorder="1" applyAlignment="1">
      <alignment horizontal="center" vertical="center"/>
    </xf>
    <xf numFmtId="6" fontId="0" fillId="17" borderId="5" xfId="0" applyNumberFormat="1" applyFill="1" applyBorder="1" applyAlignment="1">
      <alignment horizontal="center" vertical="center"/>
    </xf>
    <xf numFmtId="8" fontId="0" fillId="18" borderId="4" xfId="0" applyNumberFormat="1" applyFill="1" applyBorder="1" applyAlignment="1">
      <alignment horizontal="center" vertical="center" wrapText="1"/>
    </xf>
    <xf numFmtId="8" fontId="0" fillId="18" borderId="7" xfId="0" applyNumberFormat="1" applyFill="1" applyBorder="1" applyAlignment="1">
      <alignment horizontal="center" vertical="center"/>
    </xf>
    <xf numFmtId="8" fontId="0" fillId="18" borderId="5" xfId="0" applyNumberFormat="1" applyFill="1" applyBorder="1" applyAlignment="1">
      <alignment horizontal="center" vertical="center"/>
    </xf>
    <xf numFmtId="8" fontId="0" fillId="16" borderId="4" xfId="0" applyNumberFormat="1" applyFill="1" applyBorder="1" applyAlignment="1">
      <alignment horizontal="center" vertical="center"/>
    </xf>
    <xf numFmtId="8" fontId="0" fillId="16" borderId="7" xfId="0" applyNumberFormat="1" applyFill="1" applyBorder="1" applyAlignment="1">
      <alignment horizontal="center" vertical="center"/>
    </xf>
    <xf numFmtId="8" fontId="0" fillId="16" borderId="5" xfId="0" applyNumberFormat="1" applyFill="1" applyBorder="1" applyAlignment="1">
      <alignment horizontal="center" vertical="center"/>
    </xf>
    <xf numFmtId="8" fontId="0" fillId="18" borderId="7" xfId="0" applyNumberFormat="1" applyFill="1" applyBorder="1" applyAlignment="1">
      <alignment horizontal="center" vertical="center" wrapText="1"/>
    </xf>
    <xf numFmtId="8" fontId="0" fillId="18" borderId="5" xfId="0" applyNumberForma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cellXfs>
  <cellStyles count="2">
    <cellStyle name="Comma" xfId="1" builtinId="3"/>
    <cellStyle name="Normal" xfId="0" builtinId="0"/>
  </cellStyles>
  <dxfs count="153">
    <dxf>
      <numFmt numFmtId="2" formatCode="0.00"/>
    </dxf>
    <dxf>
      <numFmt numFmtId="2" formatCode="0.00"/>
      <alignment horizontal="right" vertical="bottom" textRotation="0" wrapText="0" indent="0" justifyLastLine="0" shrinkToFit="0" readingOrder="0"/>
      <border diagonalUp="0" diagonalDown="0">
        <left/>
        <right style="medium">
          <color auto="1"/>
        </right>
        <top/>
        <bottom/>
        <vertical/>
        <horizontal/>
      </border>
    </dxf>
    <dxf>
      <numFmt numFmtId="2" formatCode="0.00"/>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border diagonalUp="0" diagonalDown="0">
        <left style="medium">
          <color auto="1"/>
        </left>
        <right/>
        <top/>
        <bottom/>
        <vertical/>
        <horizontal/>
      </border>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alignment horizontal="right" vertical="bottom" textRotation="0" wrapText="0" indent="0" justifyLastLine="0" shrinkToFit="0" readingOrder="0"/>
      <border diagonalUp="0" diagonalDown="0">
        <left/>
        <right style="medium">
          <color auto="1"/>
        </right>
        <top/>
        <bottom/>
        <vertical/>
        <horizontal/>
      </border>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border diagonalUp="0" diagonalDown="0">
        <left style="medium">
          <color auto="1"/>
        </left>
        <right/>
        <top/>
        <bottom/>
        <vertical/>
        <horizontal/>
      </border>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border diagonalUp="0" diagonalDown="0">
        <left style="medium">
          <color auto="1"/>
        </left>
        <right/>
        <top/>
        <bottom/>
        <vertical/>
        <horizontal/>
      </border>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2" formatCode="&quot;$&quot;#,##0.00_);[Red]\(&quot;$&quot;#,##0.00\)"/>
      <fill>
        <patternFill patternType="solid">
          <fgColor indexed="64"/>
          <bgColor theme="0" tint="-0.249977111117893"/>
        </patternFill>
      </fill>
      <border diagonalUp="0" diagonalDown="0">
        <left/>
        <right style="medium">
          <color auto="1"/>
        </right>
        <top/>
        <bottom/>
        <vertical/>
        <horizontal/>
      </border>
    </dxf>
    <dxf>
      <numFmt numFmtId="12" formatCode="&quot;$&quot;#,##0.00_);[Red]\(&quot;$&quot;#,##0.00\)"/>
      <fill>
        <patternFill patternType="solid">
          <fgColor indexed="64"/>
          <bgColor theme="0" tint="-0.249977111117893"/>
        </patternFill>
      </fill>
      <border diagonalUp="0" diagonalDown="0">
        <left style="medium">
          <color auto="1"/>
        </left>
        <right/>
        <top/>
        <bottom/>
        <vertical/>
        <horizontal/>
      </border>
    </dxf>
    <dxf>
      <numFmt numFmtId="12" formatCode="&quot;$&quot;#,##0.00_);[Red]\(&quot;$&quot;#,##0.00\)"/>
      <fill>
        <patternFill patternType="solid">
          <fgColor indexed="64"/>
          <bgColor theme="0" tint="-0.249977111117893"/>
        </patternFill>
      </fill>
    </dxf>
    <dxf>
      <numFmt numFmtId="12" formatCode="&quot;$&quot;#,##0.00_);[Red]\(&quot;$&quot;#,##0.00\)"/>
      <fill>
        <patternFill patternType="solid">
          <fgColor indexed="64"/>
          <bgColor theme="0" tint="-0.249977111117893"/>
        </patternFill>
      </fill>
    </dxf>
    <dxf>
      <numFmt numFmtId="164" formatCode="0.0"/>
      <fill>
        <patternFill patternType="solid">
          <fgColor indexed="64"/>
          <bgColor theme="0" tint="-0.249977111117893"/>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fill>
        <patternFill patternType="solid">
          <fgColor indexed="64"/>
          <bgColor theme="0" tint="-0.249977111117893"/>
        </patternFill>
      </fill>
    </dxf>
    <dxf>
      <numFmt numFmtId="166" formatCode="_(* #,##0_);_(* \(#,##0\);_(* &quot;-&quot;??_);_(@_)"/>
      <alignment horizontal="right" vertical="bottom" textRotation="0" wrapText="0" indent="0" justifyLastLine="0" shrinkToFit="0" readingOrder="0"/>
    </dxf>
    <dxf>
      <numFmt numFmtId="164" formatCode="0.0"/>
      <fill>
        <patternFill patternType="solid">
          <fgColor indexed="64"/>
          <bgColor theme="0" tint="-0.249977111117893"/>
        </patternFill>
      </fill>
      <alignment horizontal="right" vertical="bottom" textRotation="0" wrapText="0" indent="0" justifyLastLine="0" shrinkToFit="0" readingOrder="0"/>
    </dxf>
    <dxf>
      <alignment horizontal="right" vertical="bottom" textRotation="0" wrapText="0" indent="0" justifyLastLine="0" shrinkToFit="0" readingOrder="0"/>
    </dxf>
    <dxf>
      <numFmt numFmtId="164" formatCode="0.0"/>
      <fill>
        <patternFill patternType="solid">
          <fgColor indexed="64"/>
          <bgColor theme="0" tint="-0.249977111117893"/>
        </patternFill>
      </fill>
      <alignment horizontal="right" vertical="bottom" textRotation="0" wrapText="0" indent="0" justifyLastLine="0" shrinkToFit="0" readingOrder="0"/>
    </dxf>
    <dxf>
      <alignment horizontal="right" vertical="bottom" textRotation="0" wrapText="0" indent="0" justifyLastLine="0" shrinkToFit="0" readingOrder="0"/>
    </dxf>
    <dxf>
      <numFmt numFmtId="165" formatCode="&quot;$&quot;#,##0.00"/>
      <fill>
        <patternFill patternType="solid">
          <fgColor indexed="64"/>
          <bgColor theme="0" tint="-0.249977111117893"/>
        </patternFill>
      </fill>
      <alignment horizontal="right" vertical="bottom" textRotation="0" wrapText="0" indent="0" justifyLastLine="0" shrinkToFit="0" readingOrder="0"/>
    </dxf>
    <dxf>
      <numFmt numFmtId="165" formatCode="&quot;$&quot;#,##0.00"/>
      <fill>
        <patternFill patternType="none">
          <fgColor indexed="64"/>
          <bgColor indexed="65"/>
        </patternFill>
      </fill>
      <alignment horizontal="right" vertical="bottom" textRotation="0" wrapText="0" indent="0" justifyLastLine="0" shrinkToFit="0" readingOrder="0"/>
    </dxf>
    <dxf>
      <numFmt numFmtId="165" formatCode="&quot;$&quot;#,##0.00"/>
      <fill>
        <patternFill patternType="none">
          <fgColor indexed="64"/>
          <bgColor indexed="65"/>
        </patternFill>
      </fill>
      <alignment horizontal="right" vertical="bottom" textRotation="0" wrapText="0" indent="0" justifyLastLine="0" shrinkToFit="0" readingOrder="0"/>
    </dxf>
    <dxf>
      <numFmt numFmtId="165" formatCode="&quot;$&quot;#,##0.00"/>
      <alignment horizontal="right" vertical="bottom" textRotation="0" wrapText="0" indent="0" justifyLastLine="0" shrinkToFit="0" readingOrder="0"/>
    </dxf>
    <dxf>
      <numFmt numFmtId="165" formatCode="&quot;$&quot;#,##0.00"/>
      <alignment horizontal="right" vertical="bottom" textRotation="0" wrapText="0" indent="0" justifyLastLine="0" shrinkToFit="0" readingOrder="0"/>
    </dxf>
    <dxf>
      <numFmt numFmtId="165" formatCode="&quot;$&quot;#,##0.00"/>
      <alignment horizontal="right" vertical="bottom" textRotation="0" wrapText="0" indent="0" justifyLastLine="0" shrinkToFit="0" readingOrder="0"/>
    </dxf>
    <dxf>
      <numFmt numFmtId="165" formatCode="&quot;$&quot;#,##0.00"/>
      <fill>
        <patternFill patternType="solid">
          <fgColor indexed="64"/>
          <bgColor theme="0" tint="-0.249977111117893"/>
        </patternFill>
      </fill>
      <alignment horizontal="right" vertical="bottom" textRotation="0" wrapText="0" indent="0" justifyLastLine="0" shrinkToFit="0" readingOrder="0"/>
    </dxf>
    <dxf>
      <numFmt numFmtId="165" formatCode="&quot;$&quot;#,##0.00"/>
      <alignment horizontal="right" vertical="bottom" textRotation="0" wrapText="0" indent="0" justifyLastLine="0" shrinkToFit="0" readingOrder="0"/>
    </dxf>
    <dxf>
      <numFmt numFmtId="165" formatCode="&quot;$&quot;#,##0.00"/>
      <alignment horizontal="right" vertical="bottom" textRotation="0" wrapText="0" indent="0" justifyLastLine="0" shrinkToFit="0" readingOrder="0"/>
    </dxf>
    <dxf>
      <numFmt numFmtId="12" formatCode="&quot;$&quot;#,##0.00_);[Red]\(&quot;$&quot;#,##0.00\)"/>
      <fill>
        <patternFill patternType="solid">
          <fgColor indexed="64"/>
          <bgColor theme="0" tint="-0.249977111117893"/>
        </patternFill>
      </fill>
    </dxf>
    <dxf>
      <numFmt numFmtId="12" formatCode="&quot;$&quot;#,##0.00_);[Red]\(&quot;$&quot;#,##0.00\)"/>
      <fill>
        <patternFill patternType="solid">
          <fgColor indexed="64"/>
          <bgColor theme="0" tint="-0.249977111117893"/>
        </patternFill>
      </fill>
    </dxf>
    <dxf>
      <numFmt numFmtId="166" formatCode="_(* #,##0_);_(* \(#,##0\);_(* &quot;-&quot;??_);_(@_)"/>
    </dxf>
    <dxf>
      <font>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OM.Table" displayName="OM.Table" ref="A5:FA40" totalsRowShown="0" headerRowDxfId="152">
  <autoFilter ref="A5:FA40"/>
  <tableColumns count="157">
    <tableColumn id="1" name="Sector"/>
    <tableColumn id="2" name="Measure.Name"/>
    <tableColumn id="3" name="Efficient.Unit"/>
    <tableColumn id="4" name="Baseline.Unit"/>
    <tableColumn id="136" name="2nd.Baseline.Unit"/>
    <tableColumn id="7" name="Annual.HOU" dataDxfId="151" dataCellStyle="Comma"/>
    <tableColumn id="5" name="NPV.Measure.TOS" dataDxfId="150" dataCellStyle="Comma">
      <calculatedColumnFormula>OM.Table[[#This Row],[PV.Baseline.TOS]]-OM.Table[[#This Row],[PV.Efficient.TOS]]</calculatedColumnFormula>
    </tableColumn>
    <tableColumn id="109" name="NPV.Measure.ER" dataDxfId="149">
      <calculatedColumnFormula>OM.Table[[#This Row],[PV.Baseline.ER]]-OM.Table[[#This Row],[PV.Efficient.ER]]</calculatedColumnFormula>
    </tableColumn>
    <tableColumn id="8" name="Eff.Equip.Cost" dataDxfId="148"/>
    <tableColumn id="10" name="Eff.Labor.Cost" dataDxfId="147"/>
    <tableColumn id="62" name="Eff.Total.Cost" dataDxfId="146">
      <calculatedColumnFormula>IFERROR(OM.Table[[#This Row],[Eff.Equip.Cost]]+OM.Table[[#This Row],[Eff.Labor.Cost]],"NA")</calculatedColumnFormula>
    </tableColumn>
    <tableColumn id="9" name="Base.Equip.Cost" dataDxfId="145"/>
    <tableColumn id="11" name="Base.Labor.Cost" dataDxfId="144"/>
    <tableColumn id="63" name="Base.Total.Cost" dataDxfId="143">
      <calculatedColumnFormula>IFERROR(OM.Table[[#This Row],[Base.Equip.Cost]]+OM.Table[[#This Row],[Base.Labor.Cost]],"NA")</calculatedColumnFormula>
    </tableColumn>
    <tableColumn id="111" name="2nd.Base.Equip.Cost" dataDxfId="142"/>
    <tableColumn id="66" name="2nd.Base.Labor.Cost" dataDxfId="141"/>
    <tableColumn id="19" name="2nd.Base.Total.Cost" dataDxfId="140">
      <calculatedColumnFormula>IFERROR(OM.Table[[#This Row],[2nd.Base.Equip.Cost]]+OM.Table[[#This Row],[2nd.Base.Labor.Cost]],"NA")</calculatedColumnFormula>
    </tableColumn>
    <tableColumn id="12" name="Measure.Life.Yrs" dataDxfId="139"/>
    <tableColumn id="6" name="RUL.Yrs" dataDxfId="138">
      <calculatedColumnFormula>OM.Table[[#This Row],[Measure.Life.Yrs]]/3</calculatedColumnFormula>
    </tableColumn>
    <tableColumn id="13" name="Eff.Life.Hrs" dataDxfId="137"/>
    <tableColumn id="14" name="Eff.Life.Yrs" dataDxfId="136">
      <calculatedColumnFormula>IFERROR(OM.Table[[#This Row],[Eff.Life.Hrs]]/OM.Table[[#This Row],[Annual.HOU]],"NA")</calculatedColumnFormula>
    </tableColumn>
    <tableColumn id="15" name="Base.Life.Hrs" dataDxfId="135" dataCellStyle="Comma"/>
    <tableColumn id="16" name="Base.Life.Yrs" dataDxfId="134">
      <calculatedColumnFormula>IFERROR(OM.Table[[#This Row],[Base.Life.Hrs]]/OM.Table[[#This Row],[Annual.HOU]],"NA")</calculatedColumnFormula>
    </tableColumn>
    <tableColumn id="135" name="Base.Shift.Year" dataDxfId="133"/>
    <tableColumn id="133" name="2nd.Base.Life.Hrs" dataDxfId="132"/>
    <tableColumn id="134" name="2nd.Base.Life.Yrs" dataDxfId="131">
      <calculatedColumnFormula>IFERROR(OM.Table[[#This Row],[2nd.Base.Life.Hrs]]/OM.Table[[#This Row],[Annual.HOU]],"NA")</calculatedColumnFormula>
    </tableColumn>
    <tableColumn id="17" name="PV.Efficient.TOS" dataDxfId="130">
      <calculatedColumnFormula>NPV(DiscountRate,OM.Table[[#This Row],[Eff.Annual.Cost.Y00.TOS]:[Eff.Annual.Cost.Y20.TOS]])</calculatedColumnFormula>
    </tableColumn>
    <tableColumn id="18" name="PV.Baseline.TOS" dataDxfId="129">
      <calculatedColumnFormula>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calculatedColumnFormula>
    </tableColumn>
    <tableColumn id="64" name="PV.Efficient.ER" dataDxfId="128">
      <calculatedColumnFormula>NPV(DiscountRate,OM.Table[[#This Row],[Eff.Annual.Cost.Y00.ER]:[Eff.Annual.Cost.Y20.ER]])</calculatedColumnFormula>
    </tableColumn>
    <tableColumn id="65" name="PV.Baseline.ER" dataDxfId="127">
      <calculatedColumnFormula>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calculatedColumnFormula>
    </tableColumn>
    <tableColumn id="20" name="Eff.Annual.Cost.Y00.TOS" dataDxfId="126">
      <calculatedColumnFormula>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calculatedColumnFormula>
    </tableColumn>
    <tableColumn id="21" name="Eff.Annual.Cost.Y01.TOS" dataDxfId="125">
      <calculatedColumnFormula>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calculatedColumnFormula>
    </tableColumn>
    <tableColumn id="22" name="Eff.Annual.Cost.Y02.TOS" dataDxfId="124">
      <calculatedColumnFormula>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calculatedColumnFormula>
    </tableColumn>
    <tableColumn id="23" name="Eff.Annual.Cost.Y03.TOS" dataDxfId="123">
      <calculatedColumnFormula>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calculatedColumnFormula>
    </tableColumn>
    <tableColumn id="24" name="Eff.Annual.Cost.Y04.TOS" dataDxfId="122">
      <calculatedColumnFormula>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calculatedColumnFormula>
    </tableColumn>
    <tableColumn id="25" name="Eff.Annual.Cost.Y05.TOS" dataDxfId="121">
      <calculatedColumnFormula>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calculatedColumnFormula>
    </tableColumn>
    <tableColumn id="26" name="Eff.Annual.Cost.Y06.TOS" dataDxfId="120">
      <calculatedColumnFormula>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calculatedColumnFormula>
    </tableColumn>
    <tableColumn id="27" name="Eff.Annual.Cost.Y07.TOS" dataDxfId="119">
      <calculatedColumnFormula>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calculatedColumnFormula>
    </tableColumn>
    <tableColumn id="28" name="Eff.Annual.Cost.Y08.TOS" dataDxfId="118">
      <calculatedColumnFormula>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calculatedColumnFormula>
    </tableColumn>
    <tableColumn id="29" name="Eff.Annual.Cost.Y09.TOS" dataDxfId="117">
      <calculatedColumnFormula>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calculatedColumnFormula>
    </tableColumn>
    <tableColumn id="30" name="Eff.Annual.Cost.Y10.TOS" dataDxfId="116">
      <calculatedColumnFormula>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calculatedColumnFormula>
    </tableColumn>
    <tableColumn id="31" name="Eff.Annual.Cost.Y11.TOS" dataDxfId="115">
      <calculatedColumnFormula>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calculatedColumnFormula>
    </tableColumn>
    <tableColumn id="32" name="Eff.Annual.Cost.Y12.TOS" dataDxfId="114">
      <calculatedColumnFormula>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calculatedColumnFormula>
    </tableColumn>
    <tableColumn id="33" name="Eff.Annual.Cost.Y13.TOS" dataDxfId="113">
      <calculatedColumnFormula>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calculatedColumnFormula>
    </tableColumn>
    <tableColumn id="34" name="Eff.Annual.Cost.Y14.TOS" dataDxfId="112">
      <calculatedColumnFormula>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calculatedColumnFormula>
    </tableColumn>
    <tableColumn id="35" name="Eff.Annual.Cost.Y15.TOS" dataDxfId="111">
      <calculatedColumnFormula>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calculatedColumnFormula>
    </tableColumn>
    <tableColumn id="36" name="Eff.Annual.Cost.Y16.TOS" dataDxfId="110">
      <calculatedColumnFormula>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calculatedColumnFormula>
    </tableColumn>
    <tableColumn id="37" name="Eff.Annual.Cost.Y17.TOS" dataDxfId="109">
      <calculatedColumnFormula>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calculatedColumnFormula>
    </tableColumn>
    <tableColumn id="38" name="Eff.Annual.Cost.Y18.TOS" dataDxfId="108">
      <calculatedColumnFormula>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calculatedColumnFormula>
    </tableColumn>
    <tableColumn id="39" name="Eff.Annual.Cost.Y19.TOS" dataDxfId="107">
      <calculatedColumnFormula>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calculatedColumnFormula>
    </tableColumn>
    <tableColumn id="40" name="Eff.Annual.Cost.Y20.TOS" dataDxfId="106">
      <calculatedColumnFormula>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calculatedColumnFormula>
    </tableColumn>
    <tableColumn id="41" name="Base.Annual.Cost.Y00.TOS" dataDxfId="105">
      <calculatedColumnFormula>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calculatedColumnFormula>
    </tableColumn>
    <tableColumn id="42" name="Base.Annual.Cost.Y01.TOS" dataDxfId="104">
      <calculatedColumnFormula>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calculatedColumnFormula>
    </tableColumn>
    <tableColumn id="43" name="Base.Annual.Cost.Y02.TOS" dataDxfId="103">
      <calculatedColumnFormula>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calculatedColumnFormula>
    </tableColumn>
    <tableColumn id="44" name="Base.Annual.Cost.Y03.TOS" dataDxfId="102">
      <calculatedColumnFormula>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calculatedColumnFormula>
    </tableColumn>
    <tableColumn id="45" name="Base.Annual.Cost.Y04.TOS" dataDxfId="101">
      <calculatedColumnFormula>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calculatedColumnFormula>
    </tableColumn>
    <tableColumn id="46" name="Base.Annual.Cost.Y05.TOS" dataDxfId="100">
      <calculatedColumnFormula>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calculatedColumnFormula>
    </tableColumn>
    <tableColumn id="47" name="Base.Annual.Cost.Y06.TOS" dataDxfId="99">
      <calculatedColumnFormula>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calculatedColumnFormula>
    </tableColumn>
    <tableColumn id="48" name="Base.Annual.Cost.Y07.TOS" dataDxfId="98">
      <calculatedColumnFormula>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calculatedColumnFormula>
    </tableColumn>
    <tableColumn id="49" name="Base.Annual.Cost.Y08.TOS" dataDxfId="97">
      <calculatedColumnFormula>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calculatedColumnFormula>
    </tableColumn>
    <tableColumn id="50" name="Base.Annual.Cost.Y09.TOS" dataDxfId="96">
      <calculatedColumnFormula>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calculatedColumnFormula>
    </tableColumn>
    <tableColumn id="51" name="Base.Annual.Cost.Y10.TOS" dataDxfId="95">
      <calculatedColumnFormula>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calculatedColumnFormula>
    </tableColumn>
    <tableColumn id="52" name="Base.Annual.Cost.Y11.TOS" dataDxfId="94">
      <calculatedColumnFormula>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calculatedColumnFormula>
    </tableColumn>
    <tableColumn id="53" name="Base.Annual.Cost.Y12.TOS" dataDxfId="93">
      <calculatedColumnFormula>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calculatedColumnFormula>
    </tableColumn>
    <tableColumn id="54" name="Base.Annual.Cost.Y13.TOS" dataDxfId="92">
      <calculatedColumnFormula>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calculatedColumnFormula>
    </tableColumn>
    <tableColumn id="55" name="Base.Annual.Cost.Y14.TOS" dataDxfId="91">
      <calculatedColumnFormula>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calculatedColumnFormula>
    </tableColumn>
    <tableColumn id="56" name="Base.Annual.Cost.Y15.TOS" dataDxfId="90">
      <calculatedColumnFormula>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calculatedColumnFormula>
    </tableColumn>
    <tableColumn id="57" name="Base.Annual.Cost.Y16.TOS" dataDxfId="89">
      <calculatedColumnFormula>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calculatedColumnFormula>
    </tableColumn>
    <tableColumn id="58" name="Base.Annual.Cost.Y17.TOS" dataDxfId="88">
      <calculatedColumnFormula>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calculatedColumnFormula>
    </tableColumn>
    <tableColumn id="59" name="Base.Annual.Cost.Y18.TOS" dataDxfId="87">
      <calculatedColumnFormula>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calculatedColumnFormula>
    </tableColumn>
    <tableColumn id="60" name="Base.Annual.Cost.Y19.TOS" dataDxfId="86">
      <calculatedColumnFormula>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calculatedColumnFormula>
    </tableColumn>
    <tableColumn id="61" name="Base.Annual.Cost.Y20.TOS" dataDxfId="85">
      <calculatedColumnFormula>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calculatedColumnFormula>
    </tableColumn>
    <tableColumn id="112" name="2nd.Base.Annual.Cost.Y00.TOS" dataDxfId="84">
      <calculatedColumnFormula>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calculatedColumnFormula>
    </tableColumn>
    <tableColumn id="113" name="2nd.Base.Annual.Cost.Y01.TOS" dataDxfId="83">
      <calculatedColumnFormula>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calculatedColumnFormula>
    </tableColumn>
    <tableColumn id="114" name="2nd.Base.Annual.Cost.Y02.TOS" dataDxfId="82">
      <calculatedColumnFormula>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calculatedColumnFormula>
    </tableColumn>
    <tableColumn id="115" name="2nd.Base.Annual.Cost.Y03.TOS" dataDxfId="81">
      <calculatedColumnFormula>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calculatedColumnFormula>
    </tableColumn>
    <tableColumn id="116" name="2nd.Base.Annual.Cost.Y04.TOS" dataDxfId="80">
      <calculatedColumnFormula>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calculatedColumnFormula>
    </tableColumn>
    <tableColumn id="117" name="2nd.Base.Annual.Cost.Y05.TOS" dataDxfId="79">
      <calculatedColumnFormula>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calculatedColumnFormula>
    </tableColumn>
    <tableColumn id="118" name="2nd.Base.Annual.Cost.Y06.TOS" dataDxfId="78">
      <calculatedColumnFormula>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calculatedColumnFormula>
    </tableColumn>
    <tableColumn id="119" name="2nd.Base.Annual.Cost.Y07.TOS" dataDxfId="77">
      <calculatedColumnFormula>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calculatedColumnFormula>
    </tableColumn>
    <tableColumn id="120" name="2nd.Base.Annual.Cost.Y08.TOS" dataDxfId="76">
      <calculatedColumnFormula>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calculatedColumnFormula>
    </tableColumn>
    <tableColumn id="121" name="2nd.Base.Annual.Cost.Y09.TOS" dataDxfId="75">
      <calculatedColumnFormula>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calculatedColumnFormula>
    </tableColumn>
    <tableColumn id="122" name="2nd.Base.Annual.Cost.Y10.TOS" dataDxfId="74">
      <calculatedColumnFormula>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calculatedColumnFormula>
    </tableColumn>
    <tableColumn id="123" name="2nd.Base.Annual.Cost.Y11.TOS" dataDxfId="73">
      <calculatedColumnFormula>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calculatedColumnFormula>
    </tableColumn>
    <tableColumn id="124" name="2nd.Base.Annual.Cost.Y12.TOS" dataDxfId="72">
      <calculatedColumnFormula>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calculatedColumnFormula>
    </tableColumn>
    <tableColumn id="125" name="2nd.Base.Annual.Cost.Y13.TOS" dataDxfId="71">
      <calculatedColumnFormula>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calculatedColumnFormula>
    </tableColumn>
    <tableColumn id="126" name="2nd.Base.Annual.Cost.Y14.TOS" dataDxfId="70">
      <calculatedColumnFormula>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calculatedColumnFormula>
    </tableColumn>
    <tableColumn id="127" name="2nd.Base.Annual.Cost.Y15.TOS" dataDxfId="69">
      <calculatedColumnFormula>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calculatedColumnFormula>
    </tableColumn>
    <tableColumn id="128" name="2nd.Base.Annual.Cost.Y16.TOS" dataDxfId="68">
      <calculatedColumnFormula>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calculatedColumnFormula>
    </tableColumn>
    <tableColumn id="129" name="2nd.Base.Annual.Cost.Y17.TOS" dataDxfId="67">
      <calculatedColumnFormula>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calculatedColumnFormula>
    </tableColumn>
    <tableColumn id="130" name="2nd.Base.Annual.Cost.Y18.TOS" dataDxfId="66">
      <calculatedColumnFormula>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calculatedColumnFormula>
    </tableColumn>
    <tableColumn id="131" name="2nd.Base.Annual.Cost.Y19.TOS" dataDxfId="65">
      <calculatedColumnFormula>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calculatedColumnFormula>
    </tableColumn>
    <tableColumn id="132" name="2nd.Base.Annual.Cost.Y20.TOS" dataDxfId="64">
      <calculatedColumnFormula>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calculatedColumnFormula>
    </tableColumn>
    <tableColumn id="67" name="Eff.Annual.Cost.Y00.ER" dataDxfId="63">
      <calculatedColumnFormula>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calculatedColumnFormula>
    </tableColumn>
    <tableColumn id="68" name="Eff.Annual.Cost.Y01.ER" dataDxfId="62">
      <calculatedColumnFormula>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calculatedColumnFormula>
    </tableColumn>
    <tableColumn id="69" name="Eff.Annual.Cost.Y02.ER" dataDxfId="61">
      <calculatedColumnFormula>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calculatedColumnFormula>
    </tableColumn>
    <tableColumn id="70" name="Eff.Annual.Cost.Y03.ER" dataDxfId="60">
      <calculatedColumnFormula>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calculatedColumnFormula>
    </tableColumn>
    <tableColumn id="71" name="Eff.Annual.Cost.Y04.ER" dataDxfId="59">
      <calculatedColumnFormula>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calculatedColumnFormula>
    </tableColumn>
    <tableColumn id="72" name="Eff.Annual.Cost.Y05.ER" dataDxfId="58">
      <calculatedColumnFormula>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calculatedColumnFormula>
    </tableColumn>
    <tableColumn id="73" name="Eff.Annual.Cost.Y06.ER" dataDxfId="57">
      <calculatedColumnFormula>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calculatedColumnFormula>
    </tableColumn>
    <tableColumn id="74" name="Eff.Annual.Cost.Y07.ER" dataDxfId="56">
      <calculatedColumnFormula>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calculatedColumnFormula>
    </tableColumn>
    <tableColumn id="75" name="Eff.Annual.Cost.Y08.ER" dataDxfId="55">
      <calculatedColumnFormula>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calculatedColumnFormula>
    </tableColumn>
    <tableColumn id="76" name="Eff.Annual.Cost.Y09.ER" dataDxfId="54">
      <calculatedColumnFormula>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calculatedColumnFormula>
    </tableColumn>
    <tableColumn id="77" name="Eff.Annual.Cost.Y10.ER" dataDxfId="53">
      <calculatedColumnFormula>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calculatedColumnFormula>
    </tableColumn>
    <tableColumn id="78" name="Eff.Annual.Cost.Y11.ER" dataDxfId="52">
      <calculatedColumnFormula>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calculatedColumnFormula>
    </tableColumn>
    <tableColumn id="79" name="Eff.Annual.Cost.Y12.ER" dataDxfId="51">
      <calculatedColumnFormula>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calculatedColumnFormula>
    </tableColumn>
    <tableColumn id="80" name="Eff.Annual.Cost.Y13.ER" dataDxfId="50">
      <calculatedColumnFormula>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calculatedColumnFormula>
    </tableColumn>
    <tableColumn id="81" name="Eff.Annual.Cost.Y14.ER" dataDxfId="49">
      <calculatedColumnFormula>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calculatedColumnFormula>
    </tableColumn>
    <tableColumn id="82" name="Eff.Annual.Cost.Y15.ER" dataDxfId="48">
      <calculatedColumnFormula>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calculatedColumnFormula>
    </tableColumn>
    <tableColumn id="83" name="Eff.Annual.Cost.Y16.ER" dataDxfId="47">
      <calculatedColumnFormula>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calculatedColumnFormula>
    </tableColumn>
    <tableColumn id="84" name="Eff.Annual.Cost.Y17.ER" dataDxfId="46">
      <calculatedColumnFormula>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calculatedColumnFormula>
    </tableColumn>
    <tableColumn id="85" name="Eff.Annual.Cost.Y18.ER" dataDxfId="45">
      <calculatedColumnFormula>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calculatedColumnFormula>
    </tableColumn>
    <tableColumn id="86" name="Eff.Annual.Cost.Y19.ER" dataDxfId="44">
      <calculatedColumnFormula>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calculatedColumnFormula>
    </tableColumn>
    <tableColumn id="87" name="Eff.Annual.Cost.Y20.ER" dataDxfId="43">
      <calculatedColumnFormula>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calculatedColumnFormula>
    </tableColumn>
    <tableColumn id="88" name="Base.Annual.Cost.Y00.ER" dataDxfId="42">
      <calculatedColumnFormula>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calculatedColumnFormula>
    </tableColumn>
    <tableColumn id="89" name="Base.Annual.Cost.Y01.ER" dataDxfId="41">
      <calculatedColumnFormula>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calculatedColumnFormula>
    </tableColumn>
    <tableColumn id="90" name="Base.Annual.Cost.Y02.ER" dataDxfId="40">
      <calculatedColumnFormula>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calculatedColumnFormula>
    </tableColumn>
    <tableColumn id="91" name="Base.Annual.Cost.Y03.ER" dataDxfId="39">
      <calculatedColumnFormula>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calculatedColumnFormula>
    </tableColumn>
    <tableColumn id="92" name="Base.Annual.Cost.Y04.ER" dataDxfId="38">
      <calculatedColumnFormula>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calculatedColumnFormula>
    </tableColumn>
    <tableColumn id="93" name="Base.Annual.Cost.Y05.ER" dataDxfId="37">
      <calculatedColumnFormula>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calculatedColumnFormula>
    </tableColumn>
    <tableColumn id="94" name="Base.Annual.Cost.Y06.ER" dataDxfId="36">
      <calculatedColumnFormula>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calculatedColumnFormula>
    </tableColumn>
    <tableColumn id="95" name="Base.Annual.Cost.Y07.ER" dataDxfId="35">
      <calculatedColumnFormula>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calculatedColumnFormula>
    </tableColumn>
    <tableColumn id="96" name="Base.Annual.Cost.Y08.ER" dataDxfId="34">
      <calculatedColumnFormula>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calculatedColumnFormula>
    </tableColumn>
    <tableColumn id="97" name="Base.Annual.Cost.Y09.ER" dataDxfId="33">
      <calculatedColumnFormula>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calculatedColumnFormula>
    </tableColumn>
    <tableColumn id="98" name="Base.Annual.Cost.Y10.ER" dataDxfId="32">
      <calculatedColumnFormula>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calculatedColumnFormula>
    </tableColumn>
    <tableColumn id="99" name="Base.Annual.Cost.Y11.ER" dataDxfId="31">
      <calculatedColumnFormula>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calculatedColumnFormula>
    </tableColumn>
    <tableColumn id="100" name="Base.Annual.Cost.Y12.ER" dataDxfId="30">
      <calculatedColumnFormula>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calculatedColumnFormula>
    </tableColumn>
    <tableColumn id="101" name="Base.Annual.Cost.Y13.ER" dataDxfId="29">
      <calculatedColumnFormula>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calculatedColumnFormula>
    </tableColumn>
    <tableColumn id="102" name="Base.Annual.Cost.Y14.ER" dataDxfId="28">
      <calculatedColumnFormula>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calculatedColumnFormula>
    </tableColumn>
    <tableColumn id="103" name="Base.Annual.Cost.Y15.ER" dataDxfId="27">
      <calculatedColumnFormula>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calculatedColumnFormula>
    </tableColumn>
    <tableColumn id="104" name="Base.Annual.Cost.Y16.ER" dataDxfId="26">
      <calculatedColumnFormula>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calculatedColumnFormula>
    </tableColumn>
    <tableColumn id="105" name="Base.Annual.Cost.Y17.ER" dataDxfId="25">
      <calculatedColumnFormula>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calculatedColumnFormula>
    </tableColumn>
    <tableColumn id="106" name="Base.Annual.Cost.Y18.ER" dataDxfId="24">
      <calculatedColumnFormula>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calculatedColumnFormula>
    </tableColumn>
    <tableColumn id="107" name="Base.Annual.Cost.Y19.ER" dataDxfId="23">
      <calculatedColumnFormula>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calculatedColumnFormula>
    </tableColumn>
    <tableColumn id="108" name="Base.Annual.Cost.Y20.ER" dataDxfId="22">
      <calculatedColumnFormula>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calculatedColumnFormula>
    </tableColumn>
    <tableColumn id="139" name="2nd.Base.Annual.Cost.Y00.ER" dataDxfId="21">
      <calculatedColumnFormula>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calculatedColumnFormula>
    </tableColumn>
    <tableColumn id="140" name="2nd.Base.Annual.Cost.Y01.ER" dataDxfId="20">
      <calculatedColumnFormula>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calculatedColumnFormula>
    </tableColumn>
    <tableColumn id="141" name="2nd.Base.Annual.Cost.Y02.ER" dataDxfId="19">
      <calculatedColumnFormula>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calculatedColumnFormula>
    </tableColumn>
    <tableColumn id="142" name="2nd.Base.Annual.Cost.Y03.ER" dataDxfId="18">
      <calculatedColumnFormula>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calculatedColumnFormula>
    </tableColumn>
    <tableColumn id="143" name="2nd.Base.Annual.Cost.Y04.ER" dataDxfId="17">
      <calculatedColumnFormula>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calculatedColumnFormula>
    </tableColumn>
    <tableColumn id="144" name="2nd.Base.Annual.Cost.Y05.ER" dataDxfId="16">
      <calculatedColumnFormula>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calculatedColumnFormula>
    </tableColumn>
    <tableColumn id="145" name="2nd.Base.Annual.Cost.Y06.ER" dataDxfId="15">
      <calculatedColumnFormula>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calculatedColumnFormula>
    </tableColumn>
    <tableColumn id="146" name="2nd.Base.Annual.Cost.Y07.ER" dataDxfId="14">
      <calculatedColumnFormula>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calculatedColumnFormula>
    </tableColumn>
    <tableColumn id="147" name="2nd.Base.Annual.Cost.Y08.ER" dataDxfId="13">
      <calculatedColumnFormula>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calculatedColumnFormula>
    </tableColumn>
    <tableColumn id="148" name="2nd.Base.Annual.Cost.Y09.ER" dataDxfId="12">
      <calculatedColumnFormula>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calculatedColumnFormula>
    </tableColumn>
    <tableColumn id="149" name="2nd.Base.Annual.Cost.Y10.ER" dataDxfId="11">
      <calculatedColumnFormula>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calculatedColumnFormula>
    </tableColumn>
    <tableColumn id="150" name="2nd.Base.Annual.Cost.Y11.ER" dataDxfId="10">
      <calculatedColumnFormula>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calculatedColumnFormula>
    </tableColumn>
    <tableColumn id="151" name="2nd.Base.Annual.Cost.Y12.ER" dataDxfId="9">
      <calculatedColumnFormula>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calculatedColumnFormula>
    </tableColumn>
    <tableColumn id="152" name="2nd.Base.Annual.Cost.Y13.ER" dataDxfId="8">
      <calculatedColumnFormula>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calculatedColumnFormula>
    </tableColumn>
    <tableColumn id="153" name="2nd.Base.Annual.Cost.Y14.ER" dataDxfId="7">
      <calculatedColumnFormula>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calculatedColumnFormula>
    </tableColumn>
    <tableColumn id="154" name="2nd.Base.Annual.Cost.Y15.ER" dataDxfId="6">
      <calculatedColumnFormula>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calculatedColumnFormula>
    </tableColumn>
    <tableColumn id="155" name="2nd.Base.Annual.Cost.Y16.ER" dataDxfId="5">
      <calculatedColumnFormula>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calculatedColumnFormula>
    </tableColumn>
    <tableColumn id="156" name="2nd.Base.Annual.Cost.Y17.ER" dataDxfId="4">
      <calculatedColumnFormula>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calculatedColumnFormula>
    </tableColumn>
    <tableColumn id="110" name="2nd.Base.Annual.Cost.Y18.ER" dataDxfId="3">
      <calculatedColumnFormula>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calculatedColumnFormula>
    </tableColumn>
    <tableColumn id="137" name="2nd.Base.Annual.Cost.Y19.ER" dataDxfId="2">
      <calculatedColumnFormula>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calculatedColumnFormula>
    </tableColumn>
    <tableColumn id="138" name="2nd.Base.Annual.Cost.Y20.ER" dataDxfId="1">
      <calculatedColumnFormula>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calculatedColumnFormula>
    </tableColumn>
    <tableColumn id="157" name="Sourc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0"/>
  <sheetViews>
    <sheetView tabSelected="1" zoomScale="55" zoomScaleNormal="55" workbookViewId="0">
      <selection activeCell="F29" sqref="F29"/>
    </sheetView>
  </sheetViews>
  <sheetFormatPr defaultRowHeight="14.4" x14ac:dyDescent="0.3"/>
  <cols>
    <col min="1" max="1" width="14.21875" style="8" customWidth="1"/>
    <col min="2" max="2" width="79" style="8" customWidth="1"/>
    <col min="3" max="3" width="22.5546875" style="8" customWidth="1"/>
    <col min="4" max="4" width="41.33203125" style="8" customWidth="1"/>
    <col min="5" max="5" width="25" style="8" customWidth="1"/>
    <col min="6" max="6" width="14.88671875" customWidth="1"/>
    <col min="7" max="8" width="20" style="8" customWidth="1"/>
    <col min="9" max="9" width="16" style="8" customWidth="1"/>
    <col min="10" max="11" width="15.21875" style="8" customWidth="1"/>
    <col min="12" max="12" width="16.21875" style="8" customWidth="1"/>
    <col min="13" max="18" width="17.6640625" style="8" customWidth="1"/>
    <col min="19" max="19" width="14.5546875" style="8" customWidth="1"/>
    <col min="20" max="20" width="17.77734375" style="8" customWidth="1"/>
    <col min="21" max="21" width="13.88671875" style="8" customWidth="1"/>
    <col min="22" max="22" width="15" style="8" customWidth="1"/>
    <col min="23" max="26" width="15.21875" style="8" customWidth="1"/>
    <col min="27" max="27" width="19.33203125" customWidth="1"/>
    <col min="28" max="28" width="19.33203125" style="8" customWidth="1"/>
    <col min="29" max="30" width="17.5546875" style="8" customWidth="1"/>
    <col min="31" max="31" width="19.33203125" style="8" customWidth="1"/>
    <col min="32" max="51" width="14.77734375" style="8" customWidth="1"/>
    <col min="52" max="72" width="14.33203125" style="8" customWidth="1"/>
    <col min="73" max="93" width="16.44140625" style="8" customWidth="1"/>
    <col min="94" max="114" width="13.6640625" style="8" customWidth="1"/>
    <col min="115" max="135" width="13.44140625" style="8" customWidth="1"/>
    <col min="136" max="156" width="15.33203125" style="8" customWidth="1"/>
    <col min="157" max="16384" width="8.88671875" style="8"/>
  </cols>
  <sheetData>
    <row r="1" spans="1:157" customFormat="1" x14ac:dyDescent="0.3">
      <c r="A1" t="s">
        <v>0</v>
      </c>
      <c r="B1" s="64">
        <v>2018</v>
      </c>
      <c r="C1" s="8"/>
      <c r="D1" s="158" t="s">
        <v>391</v>
      </c>
      <c r="E1" s="159">
        <v>0.6</v>
      </c>
      <c r="I1" s="68"/>
      <c r="J1" s="69"/>
      <c r="K1" s="69"/>
      <c r="L1" s="69"/>
      <c r="M1" s="69"/>
      <c r="N1" s="69"/>
      <c r="O1" s="69"/>
      <c r="P1" s="69"/>
      <c r="Q1" s="69"/>
      <c r="R1" s="70"/>
      <c r="S1" s="71"/>
      <c r="T1" s="71"/>
      <c r="U1" s="71"/>
      <c r="V1" s="71"/>
      <c r="W1" s="71"/>
      <c r="X1" s="71"/>
      <c r="Y1" s="71"/>
      <c r="Z1" s="71"/>
      <c r="AA1" s="72"/>
      <c r="AB1" s="73"/>
      <c r="AC1" s="72"/>
      <c r="AD1" s="74"/>
      <c r="AE1" s="75"/>
      <c r="AF1" s="76"/>
      <c r="AG1" s="76"/>
      <c r="AH1" s="76"/>
      <c r="AI1" s="76"/>
      <c r="AJ1" s="76"/>
      <c r="AK1" s="76"/>
      <c r="AL1" s="76"/>
      <c r="AM1" s="76"/>
      <c r="AN1" s="76"/>
      <c r="AO1" s="76"/>
      <c r="AP1" s="76"/>
      <c r="AQ1" s="76"/>
      <c r="AR1" s="76"/>
      <c r="AS1" s="76"/>
      <c r="AT1" s="76"/>
      <c r="AU1" s="76"/>
      <c r="AV1" s="76"/>
      <c r="AW1" s="76"/>
      <c r="AX1" s="76"/>
      <c r="AY1" s="76"/>
      <c r="AZ1" s="77"/>
      <c r="BA1" s="78"/>
      <c r="BB1" s="78"/>
      <c r="BC1" s="78"/>
      <c r="BD1" s="78"/>
      <c r="BE1" s="78"/>
      <c r="BF1" s="78"/>
      <c r="BG1" s="78"/>
      <c r="BH1" s="78"/>
      <c r="BI1" s="78"/>
      <c r="BJ1" s="78"/>
      <c r="BK1" s="78"/>
      <c r="BL1" s="78"/>
      <c r="BM1" s="78"/>
      <c r="BN1" s="78"/>
      <c r="BO1" s="78"/>
      <c r="BP1" s="78"/>
      <c r="BQ1" s="78"/>
      <c r="BR1" s="78"/>
      <c r="BS1" s="78"/>
      <c r="BT1" s="79"/>
      <c r="BU1" s="89"/>
      <c r="BV1" s="89"/>
      <c r="BW1" s="89"/>
      <c r="BX1" s="89"/>
      <c r="BY1" s="89"/>
      <c r="BZ1" s="89"/>
      <c r="CA1" s="89"/>
      <c r="CB1" s="89"/>
      <c r="CC1" s="89"/>
      <c r="CD1" s="89"/>
      <c r="CE1" s="89"/>
      <c r="CF1" s="89"/>
      <c r="CG1" s="89"/>
      <c r="CH1" s="89"/>
      <c r="CI1" s="89"/>
      <c r="CJ1" s="89"/>
      <c r="CK1" s="89"/>
      <c r="CL1" s="89"/>
      <c r="CM1" s="89"/>
      <c r="CN1" s="89"/>
      <c r="CO1" s="89"/>
      <c r="CP1" s="80"/>
      <c r="CQ1" s="81"/>
      <c r="CR1" s="81"/>
      <c r="CS1" s="81"/>
      <c r="CT1" s="81"/>
      <c r="CU1" s="81"/>
      <c r="CV1" s="81"/>
      <c r="CW1" s="81"/>
      <c r="CX1" s="81"/>
      <c r="CY1" s="81"/>
      <c r="CZ1" s="81"/>
      <c r="DA1" s="81"/>
      <c r="DB1" s="81"/>
      <c r="DC1" s="81"/>
      <c r="DD1" s="81"/>
      <c r="DE1" s="81"/>
      <c r="DF1" s="81"/>
      <c r="DG1" s="81"/>
      <c r="DH1" s="81"/>
      <c r="DI1" s="81"/>
      <c r="DJ1" s="81"/>
      <c r="DK1" s="70"/>
      <c r="DL1" s="71"/>
      <c r="DM1" s="71"/>
      <c r="DN1" s="71"/>
      <c r="DO1" s="71"/>
      <c r="DP1" s="71"/>
      <c r="DQ1" s="71"/>
      <c r="DR1" s="71"/>
      <c r="DS1" s="71"/>
      <c r="DT1" s="71"/>
      <c r="DU1" s="71"/>
      <c r="DV1" s="71"/>
      <c r="DW1" s="71"/>
      <c r="DX1" s="71"/>
      <c r="DY1" s="71"/>
      <c r="DZ1" s="71"/>
      <c r="EA1" s="71"/>
      <c r="EB1" s="71"/>
      <c r="EC1" s="71"/>
      <c r="ED1" s="71"/>
      <c r="EE1" s="86"/>
      <c r="EF1" s="97"/>
      <c r="EG1" s="97"/>
      <c r="EH1" s="97"/>
      <c r="EI1" s="97"/>
      <c r="EJ1" s="97"/>
      <c r="EK1" s="97"/>
      <c r="EL1" s="97"/>
      <c r="EM1" s="97"/>
      <c r="EN1" s="97"/>
      <c r="EO1" s="97"/>
      <c r="EP1" s="97"/>
      <c r="EQ1" s="97"/>
      <c r="ER1" s="97"/>
      <c r="ES1" s="97"/>
      <c r="ET1" s="97"/>
      <c r="EU1" s="97"/>
      <c r="EV1" s="97"/>
      <c r="EW1" s="97"/>
      <c r="EX1" s="97"/>
      <c r="EY1" s="97"/>
      <c r="EZ1" s="74"/>
    </row>
    <row r="2" spans="1:157" customFormat="1" ht="14.4" customHeight="1" x14ac:dyDescent="0.3">
      <c r="A2" t="s">
        <v>1</v>
      </c>
      <c r="B2" s="65">
        <v>0.05</v>
      </c>
      <c r="D2" s="1"/>
      <c r="E2" s="1"/>
      <c r="G2" s="8"/>
      <c r="H2" s="102"/>
      <c r="I2" s="66" t="s">
        <v>6</v>
      </c>
      <c r="J2" s="67"/>
      <c r="K2" s="67"/>
      <c r="L2" s="67"/>
      <c r="M2" s="67"/>
      <c r="N2" s="67"/>
      <c r="O2" s="67"/>
      <c r="P2" s="67"/>
      <c r="Q2" s="67"/>
      <c r="R2" s="70" t="s">
        <v>116</v>
      </c>
      <c r="S2" s="71"/>
      <c r="T2" s="71"/>
      <c r="U2" s="71"/>
      <c r="V2" s="71"/>
      <c r="W2" s="71"/>
      <c r="X2" s="71"/>
      <c r="Y2" s="71"/>
      <c r="Z2" s="71"/>
      <c r="AA2" s="72" t="s">
        <v>215</v>
      </c>
      <c r="AB2" s="73"/>
      <c r="AC2" s="72" t="s">
        <v>216</v>
      </c>
      <c r="AD2" s="74"/>
      <c r="AE2" s="75" t="s">
        <v>105</v>
      </c>
      <c r="AF2" s="76"/>
      <c r="AG2" s="76"/>
      <c r="AH2" s="76"/>
      <c r="AI2" s="76"/>
      <c r="AJ2" s="76"/>
      <c r="AK2" s="76"/>
      <c r="AL2" s="76"/>
      <c r="AM2" s="76"/>
      <c r="AN2" s="76"/>
      <c r="AO2" s="76"/>
      <c r="AP2" s="76"/>
      <c r="AQ2" s="76"/>
      <c r="AR2" s="76"/>
      <c r="AS2" s="76"/>
      <c r="AT2" s="76"/>
      <c r="AU2" s="76"/>
      <c r="AV2" s="76"/>
      <c r="AW2" s="76"/>
      <c r="AX2" s="76"/>
      <c r="AY2" s="76"/>
      <c r="AZ2" s="77" t="s">
        <v>106</v>
      </c>
      <c r="BA2" s="78"/>
      <c r="BB2" s="78"/>
      <c r="BC2" s="78"/>
      <c r="BD2" s="78"/>
      <c r="BE2" s="78"/>
      <c r="BF2" s="78"/>
      <c r="BG2" s="78"/>
      <c r="BH2" s="78"/>
      <c r="BI2" s="78"/>
      <c r="BJ2" s="78"/>
      <c r="BK2" s="78"/>
      <c r="BL2" s="78"/>
      <c r="BM2" s="78"/>
      <c r="BN2" s="78"/>
      <c r="BO2" s="78"/>
      <c r="BP2" s="78"/>
      <c r="BQ2" s="78"/>
      <c r="BR2" s="78"/>
      <c r="BS2" s="78"/>
      <c r="BT2" s="79"/>
      <c r="BU2" s="89" t="s">
        <v>280</v>
      </c>
      <c r="BV2" s="89"/>
      <c r="BW2" s="89"/>
      <c r="BX2" s="89"/>
      <c r="BY2" s="89"/>
      <c r="BZ2" s="89"/>
      <c r="CA2" s="89"/>
      <c r="CB2" s="89"/>
      <c r="CC2" s="89"/>
      <c r="CD2" s="89"/>
      <c r="CE2" s="89"/>
      <c r="CF2" s="89"/>
      <c r="CG2" s="89"/>
      <c r="CH2" s="89"/>
      <c r="CI2" s="89"/>
      <c r="CJ2" s="89"/>
      <c r="CK2" s="89"/>
      <c r="CL2" s="89"/>
      <c r="CM2" s="89"/>
      <c r="CN2" s="89"/>
      <c r="CO2" s="89"/>
      <c r="CP2" s="80" t="s">
        <v>117</v>
      </c>
      <c r="CQ2" s="81"/>
      <c r="CR2" s="81"/>
      <c r="CS2" s="81"/>
      <c r="CT2" s="81"/>
      <c r="CU2" s="81"/>
      <c r="CV2" s="81"/>
      <c r="CW2" s="81"/>
      <c r="CX2" s="81"/>
      <c r="CY2" s="81"/>
      <c r="CZ2" s="81"/>
      <c r="DA2" s="81"/>
      <c r="DB2" s="81"/>
      <c r="DC2" s="81"/>
      <c r="DD2" s="81"/>
      <c r="DE2" s="81"/>
      <c r="DF2" s="81"/>
      <c r="DG2" s="81"/>
      <c r="DH2" s="81"/>
      <c r="DI2" s="81"/>
      <c r="DJ2" s="81"/>
      <c r="DK2" s="70" t="s">
        <v>118</v>
      </c>
      <c r="DL2" s="71"/>
      <c r="DM2" s="71"/>
      <c r="DN2" s="71"/>
      <c r="DO2" s="71"/>
      <c r="DP2" s="71"/>
      <c r="DQ2" s="71"/>
      <c r="DR2" s="71"/>
      <c r="DS2" s="71"/>
      <c r="DT2" s="71"/>
      <c r="DU2" s="71"/>
      <c r="DV2" s="71"/>
      <c r="DW2" s="71"/>
      <c r="DX2" s="71"/>
      <c r="DY2" s="71"/>
      <c r="DZ2" s="71"/>
      <c r="EA2" s="71"/>
      <c r="EB2" s="71"/>
      <c r="EC2" s="71"/>
      <c r="ED2" s="71"/>
      <c r="EE2" s="86"/>
      <c r="EF2" s="97" t="s">
        <v>305</v>
      </c>
      <c r="EG2" s="97"/>
      <c r="EH2" s="97"/>
      <c r="EI2" s="97"/>
      <c r="EJ2" s="97"/>
      <c r="EK2" s="97"/>
      <c r="EL2" s="97"/>
      <c r="EM2" s="97"/>
      <c r="EN2" s="97"/>
      <c r="EO2" s="97"/>
      <c r="EP2" s="97"/>
      <c r="EQ2" s="97"/>
      <c r="ER2" s="97"/>
      <c r="ES2" s="97"/>
      <c r="ET2" s="97"/>
      <c r="EU2" s="97"/>
      <c r="EV2" s="97"/>
      <c r="EW2" s="97"/>
      <c r="EX2" s="97"/>
      <c r="EY2" s="97"/>
      <c r="EZ2" s="74"/>
    </row>
    <row r="3" spans="1:157" customFormat="1" ht="69.599999999999994" customHeight="1" x14ac:dyDescent="0.3">
      <c r="A3" s="2"/>
      <c r="B3" s="2"/>
      <c r="C3" s="2"/>
      <c r="D3" s="2"/>
      <c r="E3" s="2"/>
      <c r="F3" s="165" t="s">
        <v>5</v>
      </c>
      <c r="G3" s="165" t="s">
        <v>213</v>
      </c>
      <c r="H3" s="168" t="s">
        <v>214</v>
      </c>
      <c r="I3" s="167" t="s">
        <v>110</v>
      </c>
      <c r="J3" s="166" t="s">
        <v>111</v>
      </c>
      <c r="K3" s="166" t="s">
        <v>112</v>
      </c>
      <c r="L3" s="166" t="s">
        <v>113</v>
      </c>
      <c r="M3" s="166" t="s">
        <v>114</v>
      </c>
      <c r="N3" s="166" t="s">
        <v>115</v>
      </c>
      <c r="O3" s="166" t="s">
        <v>254</v>
      </c>
      <c r="P3" s="166" t="s">
        <v>281</v>
      </c>
      <c r="Q3" s="174" t="s">
        <v>255</v>
      </c>
      <c r="R3" s="173" t="s">
        <v>17</v>
      </c>
      <c r="S3" s="172" t="s">
        <v>252</v>
      </c>
      <c r="T3" s="172" t="s">
        <v>12</v>
      </c>
      <c r="U3" s="172" t="s">
        <v>13</v>
      </c>
      <c r="V3" s="172" t="s">
        <v>14</v>
      </c>
      <c r="W3" s="172" t="s">
        <v>15</v>
      </c>
      <c r="X3" s="172" t="s">
        <v>296</v>
      </c>
      <c r="Y3" s="172" t="s">
        <v>283</v>
      </c>
      <c r="Z3" s="171" t="s">
        <v>282</v>
      </c>
      <c r="AA3" s="170" t="s">
        <v>119</v>
      </c>
      <c r="AB3" s="169" t="s">
        <v>120</v>
      </c>
      <c r="AC3" s="170" t="s">
        <v>125</v>
      </c>
      <c r="AD3" s="169" t="s">
        <v>126</v>
      </c>
      <c r="AE3" s="9">
        <f>ProgramYear</f>
        <v>2018</v>
      </c>
      <c r="AF3" s="10">
        <f>AE3+1</f>
        <v>2019</v>
      </c>
      <c r="AG3" s="10">
        <f t="shared" ref="AG3:AY3" si="0">AF3+1</f>
        <v>2020</v>
      </c>
      <c r="AH3" s="10">
        <f t="shared" si="0"/>
        <v>2021</v>
      </c>
      <c r="AI3" s="10">
        <f t="shared" si="0"/>
        <v>2022</v>
      </c>
      <c r="AJ3" s="10">
        <f t="shared" si="0"/>
        <v>2023</v>
      </c>
      <c r="AK3" s="10">
        <f t="shared" si="0"/>
        <v>2024</v>
      </c>
      <c r="AL3" s="10">
        <f t="shared" si="0"/>
        <v>2025</v>
      </c>
      <c r="AM3" s="10">
        <f t="shared" si="0"/>
        <v>2026</v>
      </c>
      <c r="AN3" s="10">
        <f t="shared" si="0"/>
        <v>2027</v>
      </c>
      <c r="AO3" s="10">
        <f t="shared" si="0"/>
        <v>2028</v>
      </c>
      <c r="AP3" s="10">
        <f t="shared" si="0"/>
        <v>2029</v>
      </c>
      <c r="AQ3" s="10">
        <f t="shared" si="0"/>
        <v>2030</v>
      </c>
      <c r="AR3" s="10">
        <f t="shared" si="0"/>
        <v>2031</v>
      </c>
      <c r="AS3" s="10">
        <f t="shared" si="0"/>
        <v>2032</v>
      </c>
      <c r="AT3" s="10">
        <f t="shared" si="0"/>
        <v>2033</v>
      </c>
      <c r="AU3" s="10">
        <f t="shared" si="0"/>
        <v>2034</v>
      </c>
      <c r="AV3" s="10">
        <f t="shared" si="0"/>
        <v>2035</v>
      </c>
      <c r="AW3" s="10">
        <f t="shared" si="0"/>
        <v>2036</v>
      </c>
      <c r="AX3" s="10">
        <f t="shared" si="0"/>
        <v>2037</v>
      </c>
      <c r="AY3" s="10">
        <f t="shared" si="0"/>
        <v>2038</v>
      </c>
      <c r="AZ3" s="9">
        <f>ProgramYear</f>
        <v>2018</v>
      </c>
      <c r="BA3" s="10">
        <f>AZ3+1</f>
        <v>2019</v>
      </c>
      <c r="BB3" s="10">
        <f t="shared" ref="BB3:BT3" si="1">BA3+1</f>
        <v>2020</v>
      </c>
      <c r="BC3" s="10">
        <f t="shared" si="1"/>
        <v>2021</v>
      </c>
      <c r="BD3" s="10">
        <f t="shared" si="1"/>
        <v>2022</v>
      </c>
      <c r="BE3" s="10">
        <f t="shared" si="1"/>
        <v>2023</v>
      </c>
      <c r="BF3" s="10">
        <f t="shared" si="1"/>
        <v>2024</v>
      </c>
      <c r="BG3" s="10">
        <f t="shared" si="1"/>
        <v>2025</v>
      </c>
      <c r="BH3" s="10">
        <f t="shared" si="1"/>
        <v>2026</v>
      </c>
      <c r="BI3" s="10">
        <f t="shared" si="1"/>
        <v>2027</v>
      </c>
      <c r="BJ3" s="10">
        <f t="shared" si="1"/>
        <v>2028</v>
      </c>
      <c r="BK3" s="10">
        <f t="shared" si="1"/>
        <v>2029</v>
      </c>
      <c r="BL3" s="10">
        <f t="shared" si="1"/>
        <v>2030</v>
      </c>
      <c r="BM3" s="10">
        <f t="shared" si="1"/>
        <v>2031</v>
      </c>
      <c r="BN3" s="10">
        <f t="shared" si="1"/>
        <v>2032</v>
      </c>
      <c r="BO3" s="10">
        <f t="shared" si="1"/>
        <v>2033</v>
      </c>
      <c r="BP3" s="10">
        <f t="shared" si="1"/>
        <v>2034</v>
      </c>
      <c r="BQ3" s="10">
        <f t="shared" si="1"/>
        <v>2035</v>
      </c>
      <c r="BR3" s="10">
        <f t="shared" si="1"/>
        <v>2036</v>
      </c>
      <c r="BS3" s="10">
        <f t="shared" si="1"/>
        <v>2037</v>
      </c>
      <c r="BT3" s="11">
        <f t="shared" si="1"/>
        <v>2038</v>
      </c>
      <c r="BU3" s="9">
        <f>ProgramYear</f>
        <v>2018</v>
      </c>
      <c r="BV3" s="10">
        <f>BU3+1</f>
        <v>2019</v>
      </c>
      <c r="BW3" s="10">
        <f t="shared" ref="BW3" si="2">BV3+1</f>
        <v>2020</v>
      </c>
      <c r="BX3" s="10">
        <f t="shared" ref="BX3" si="3">BW3+1</f>
        <v>2021</v>
      </c>
      <c r="BY3" s="10">
        <f t="shared" ref="BY3" si="4">BX3+1</f>
        <v>2022</v>
      </c>
      <c r="BZ3" s="10">
        <f t="shared" ref="BZ3" si="5">BY3+1</f>
        <v>2023</v>
      </c>
      <c r="CA3" s="10">
        <f t="shared" ref="CA3" si="6">BZ3+1</f>
        <v>2024</v>
      </c>
      <c r="CB3" s="10">
        <f t="shared" ref="CB3" si="7">CA3+1</f>
        <v>2025</v>
      </c>
      <c r="CC3" s="10">
        <f t="shared" ref="CC3" si="8">CB3+1</f>
        <v>2026</v>
      </c>
      <c r="CD3" s="10">
        <f t="shared" ref="CD3" si="9">CC3+1</f>
        <v>2027</v>
      </c>
      <c r="CE3" s="10">
        <f t="shared" ref="CE3" si="10">CD3+1</f>
        <v>2028</v>
      </c>
      <c r="CF3" s="10">
        <f t="shared" ref="CF3" si="11">CE3+1</f>
        <v>2029</v>
      </c>
      <c r="CG3" s="10">
        <f t="shared" ref="CG3" si="12">CF3+1</f>
        <v>2030</v>
      </c>
      <c r="CH3" s="10">
        <f t="shared" ref="CH3" si="13">CG3+1</f>
        <v>2031</v>
      </c>
      <c r="CI3" s="10">
        <f t="shared" ref="CI3" si="14">CH3+1</f>
        <v>2032</v>
      </c>
      <c r="CJ3" s="10">
        <f t="shared" ref="CJ3" si="15">CI3+1</f>
        <v>2033</v>
      </c>
      <c r="CK3" s="10">
        <f t="shared" ref="CK3" si="16">CJ3+1</f>
        <v>2034</v>
      </c>
      <c r="CL3" s="10">
        <f t="shared" ref="CL3" si="17">CK3+1</f>
        <v>2035</v>
      </c>
      <c r="CM3" s="10">
        <f t="shared" ref="CM3" si="18">CL3+1</f>
        <v>2036</v>
      </c>
      <c r="CN3" s="10">
        <f t="shared" ref="CN3" si="19">CM3+1</f>
        <v>2037</v>
      </c>
      <c r="CO3" s="11">
        <f t="shared" ref="CO3" si="20">CN3+1</f>
        <v>2038</v>
      </c>
      <c r="CP3" s="9">
        <f>ProgramYear</f>
        <v>2018</v>
      </c>
      <c r="CQ3" s="10">
        <f>CP3+1</f>
        <v>2019</v>
      </c>
      <c r="CR3" s="10">
        <f t="shared" ref="CR3" si="21">CQ3+1</f>
        <v>2020</v>
      </c>
      <c r="CS3" s="10">
        <f t="shared" ref="CS3" si="22">CR3+1</f>
        <v>2021</v>
      </c>
      <c r="CT3" s="10">
        <f t="shared" ref="CT3" si="23">CS3+1</f>
        <v>2022</v>
      </c>
      <c r="CU3" s="10">
        <f t="shared" ref="CU3" si="24">CT3+1</f>
        <v>2023</v>
      </c>
      <c r="CV3" s="10">
        <f t="shared" ref="CV3" si="25">CU3+1</f>
        <v>2024</v>
      </c>
      <c r="CW3" s="10">
        <f t="shared" ref="CW3" si="26">CV3+1</f>
        <v>2025</v>
      </c>
      <c r="CX3" s="10">
        <f t="shared" ref="CX3" si="27">CW3+1</f>
        <v>2026</v>
      </c>
      <c r="CY3" s="10">
        <f t="shared" ref="CY3" si="28">CX3+1</f>
        <v>2027</v>
      </c>
      <c r="CZ3" s="10">
        <f t="shared" ref="CZ3" si="29">CY3+1</f>
        <v>2028</v>
      </c>
      <c r="DA3" s="10">
        <f t="shared" ref="DA3" si="30">CZ3+1</f>
        <v>2029</v>
      </c>
      <c r="DB3" s="10">
        <f t="shared" ref="DB3" si="31">DA3+1</f>
        <v>2030</v>
      </c>
      <c r="DC3" s="10">
        <f t="shared" ref="DC3" si="32">DB3+1</f>
        <v>2031</v>
      </c>
      <c r="DD3" s="10">
        <f t="shared" ref="DD3" si="33">DC3+1</f>
        <v>2032</v>
      </c>
      <c r="DE3" s="10">
        <f t="shared" ref="DE3" si="34">DD3+1</f>
        <v>2033</v>
      </c>
      <c r="DF3" s="10">
        <f t="shared" ref="DF3" si="35">DE3+1</f>
        <v>2034</v>
      </c>
      <c r="DG3" s="10">
        <f t="shared" ref="DG3" si="36">DF3+1</f>
        <v>2035</v>
      </c>
      <c r="DH3" s="10">
        <f t="shared" ref="DH3" si="37">DG3+1</f>
        <v>2036</v>
      </c>
      <c r="DI3" s="10">
        <f t="shared" ref="DI3" si="38">DH3+1</f>
        <v>2037</v>
      </c>
      <c r="DJ3" s="10">
        <f t="shared" ref="DJ3" si="39">DI3+1</f>
        <v>2038</v>
      </c>
      <c r="DK3" s="9">
        <f>ProgramYear</f>
        <v>2018</v>
      </c>
      <c r="DL3" s="10">
        <f>DK3+1</f>
        <v>2019</v>
      </c>
      <c r="DM3" s="10">
        <f t="shared" ref="DM3" si="40">DL3+1</f>
        <v>2020</v>
      </c>
      <c r="DN3" s="10">
        <f t="shared" ref="DN3" si="41">DM3+1</f>
        <v>2021</v>
      </c>
      <c r="DO3" s="10">
        <f t="shared" ref="DO3" si="42">DN3+1</f>
        <v>2022</v>
      </c>
      <c r="DP3" s="10">
        <f t="shared" ref="DP3" si="43">DO3+1</f>
        <v>2023</v>
      </c>
      <c r="DQ3" s="10">
        <f t="shared" ref="DQ3" si="44">DP3+1</f>
        <v>2024</v>
      </c>
      <c r="DR3" s="10">
        <f t="shared" ref="DR3" si="45">DQ3+1</f>
        <v>2025</v>
      </c>
      <c r="DS3" s="10">
        <f t="shared" ref="DS3" si="46">DR3+1</f>
        <v>2026</v>
      </c>
      <c r="DT3" s="10">
        <f t="shared" ref="DT3" si="47">DS3+1</f>
        <v>2027</v>
      </c>
      <c r="DU3" s="10">
        <f t="shared" ref="DU3" si="48">DT3+1</f>
        <v>2028</v>
      </c>
      <c r="DV3" s="10">
        <f t="shared" ref="DV3" si="49">DU3+1</f>
        <v>2029</v>
      </c>
      <c r="DW3" s="10">
        <f t="shared" ref="DW3" si="50">DV3+1</f>
        <v>2030</v>
      </c>
      <c r="DX3" s="10">
        <f t="shared" ref="DX3" si="51">DW3+1</f>
        <v>2031</v>
      </c>
      <c r="DY3" s="10">
        <f t="shared" ref="DY3" si="52">DX3+1</f>
        <v>2032</v>
      </c>
      <c r="DZ3" s="10">
        <f t="shared" ref="DZ3" si="53">DY3+1</f>
        <v>2033</v>
      </c>
      <c r="EA3" s="10">
        <f t="shared" ref="EA3" si="54">DZ3+1</f>
        <v>2034</v>
      </c>
      <c r="EB3" s="10">
        <f t="shared" ref="EB3" si="55">EA3+1</f>
        <v>2035</v>
      </c>
      <c r="EC3" s="10">
        <f t="shared" ref="EC3" si="56">EB3+1</f>
        <v>2036</v>
      </c>
      <c r="ED3" s="10">
        <f t="shared" ref="ED3" si="57">EC3+1</f>
        <v>2037</v>
      </c>
      <c r="EE3" s="11">
        <f t="shared" ref="EE3" si="58">ED3+1</f>
        <v>2038</v>
      </c>
      <c r="EF3" s="9">
        <f>ProgramYear</f>
        <v>2018</v>
      </c>
      <c r="EG3" s="10">
        <f>EF3+1</f>
        <v>2019</v>
      </c>
      <c r="EH3" s="10">
        <f t="shared" ref="EH3" si="59">EG3+1</f>
        <v>2020</v>
      </c>
      <c r="EI3" s="10">
        <f t="shared" ref="EI3" si="60">EH3+1</f>
        <v>2021</v>
      </c>
      <c r="EJ3" s="10">
        <f t="shared" ref="EJ3" si="61">EI3+1</f>
        <v>2022</v>
      </c>
      <c r="EK3" s="10">
        <f t="shared" ref="EK3" si="62">EJ3+1</f>
        <v>2023</v>
      </c>
      <c r="EL3" s="10">
        <f t="shared" ref="EL3" si="63">EK3+1</f>
        <v>2024</v>
      </c>
      <c r="EM3" s="10">
        <f t="shared" ref="EM3" si="64">EL3+1</f>
        <v>2025</v>
      </c>
      <c r="EN3" s="10">
        <f t="shared" ref="EN3" si="65">EM3+1</f>
        <v>2026</v>
      </c>
      <c r="EO3" s="10">
        <f t="shared" ref="EO3" si="66">EN3+1</f>
        <v>2027</v>
      </c>
      <c r="EP3" s="10">
        <f t="shared" ref="EP3" si="67">EO3+1</f>
        <v>2028</v>
      </c>
      <c r="EQ3" s="10">
        <f t="shared" ref="EQ3" si="68">EP3+1</f>
        <v>2029</v>
      </c>
      <c r="ER3" s="10">
        <f t="shared" ref="ER3" si="69">EQ3+1</f>
        <v>2030</v>
      </c>
      <c r="ES3" s="10">
        <f t="shared" ref="ES3" si="70">ER3+1</f>
        <v>2031</v>
      </c>
      <c r="ET3" s="10">
        <f t="shared" ref="ET3" si="71">ES3+1</f>
        <v>2032</v>
      </c>
      <c r="EU3" s="10">
        <f t="shared" ref="EU3" si="72">ET3+1</f>
        <v>2033</v>
      </c>
      <c r="EV3" s="10">
        <f t="shared" ref="EV3" si="73">EU3+1</f>
        <v>2034</v>
      </c>
      <c r="EW3" s="10">
        <f t="shared" ref="EW3" si="74">EV3+1</f>
        <v>2035</v>
      </c>
      <c r="EX3" s="10">
        <f t="shared" ref="EX3" si="75">EW3+1</f>
        <v>2036</v>
      </c>
      <c r="EY3" s="10">
        <f t="shared" ref="EY3" si="76">EX3+1</f>
        <v>2037</v>
      </c>
      <c r="EZ3" s="11">
        <f t="shared" ref="EZ3" si="77">EY3+1</f>
        <v>2038</v>
      </c>
    </row>
    <row r="4" spans="1:157" customFormat="1" x14ac:dyDescent="0.3">
      <c r="A4" s="2" t="s">
        <v>2</v>
      </c>
      <c r="B4" s="2" t="s">
        <v>8</v>
      </c>
      <c r="C4" s="2" t="s">
        <v>3</v>
      </c>
      <c r="D4" s="2" t="s">
        <v>4</v>
      </c>
      <c r="E4" s="2" t="s">
        <v>298</v>
      </c>
      <c r="F4" s="165"/>
      <c r="G4" s="165"/>
      <c r="H4" s="168"/>
      <c r="I4" s="167"/>
      <c r="J4" s="166"/>
      <c r="K4" s="166"/>
      <c r="L4" s="166"/>
      <c r="M4" s="166"/>
      <c r="N4" s="166"/>
      <c r="O4" s="166"/>
      <c r="P4" s="166"/>
      <c r="Q4" s="174"/>
      <c r="R4" s="173"/>
      <c r="S4" s="172"/>
      <c r="T4" s="172"/>
      <c r="U4" s="172"/>
      <c r="V4" s="172"/>
      <c r="W4" s="172"/>
      <c r="X4" s="172"/>
      <c r="Y4" s="172"/>
      <c r="Z4" s="171"/>
      <c r="AA4" s="170"/>
      <c r="AB4" s="169"/>
      <c r="AC4" s="170"/>
      <c r="AD4" s="169"/>
      <c r="AE4" s="9">
        <f t="shared" ref="AE4:BJ4" si="78">AE3-ProgramYear</f>
        <v>0</v>
      </c>
      <c r="AF4" s="10">
        <f t="shared" si="78"/>
        <v>1</v>
      </c>
      <c r="AG4" s="10">
        <f t="shared" si="78"/>
        <v>2</v>
      </c>
      <c r="AH4" s="10">
        <f t="shared" si="78"/>
        <v>3</v>
      </c>
      <c r="AI4" s="10">
        <f t="shared" si="78"/>
        <v>4</v>
      </c>
      <c r="AJ4" s="10">
        <f t="shared" si="78"/>
        <v>5</v>
      </c>
      <c r="AK4" s="10">
        <f t="shared" si="78"/>
        <v>6</v>
      </c>
      <c r="AL4" s="10">
        <f t="shared" si="78"/>
        <v>7</v>
      </c>
      <c r="AM4" s="10">
        <f t="shared" si="78"/>
        <v>8</v>
      </c>
      <c r="AN4" s="10">
        <f t="shared" si="78"/>
        <v>9</v>
      </c>
      <c r="AO4" s="10">
        <f t="shared" si="78"/>
        <v>10</v>
      </c>
      <c r="AP4" s="10">
        <f t="shared" si="78"/>
        <v>11</v>
      </c>
      <c r="AQ4" s="10">
        <f t="shared" si="78"/>
        <v>12</v>
      </c>
      <c r="AR4" s="10">
        <f t="shared" si="78"/>
        <v>13</v>
      </c>
      <c r="AS4" s="10">
        <f t="shared" si="78"/>
        <v>14</v>
      </c>
      <c r="AT4" s="10">
        <f t="shared" si="78"/>
        <v>15</v>
      </c>
      <c r="AU4" s="10">
        <f t="shared" si="78"/>
        <v>16</v>
      </c>
      <c r="AV4" s="10">
        <f t="shared" si="78"/>
        <v>17</v>
      </c>
      <c r="AW4" s="10">
        <f t="shared" si="78"/>
        <v>18</v>
      </c>
      <c r="AX4" s="10">
        <f t="shared" si="78"/>
        <v>19</v>
      </c>
      <c r="AY4" s="10">
        <f t="shared" si="78"/>
        <v>20</v>
      </c>
      <c r="AZ4" s="9">
        <f t="shared" si="78"/>
        <v>0</v>
      </c>
      <c r="BA4" s="10">
        <f t="shared" si="78"/>
        <v>1</v>
      </c>
      <c r="BB4" s="10">
        <f t="shared" si="78"/>
        <v>2</v>
      </c>
      <c r="BC4" s="10">
        <f t="shared" si="78"/>
        <v>3</v>
      </c>
      <c r="BD4" s="10">
        <f t="shared" si="78"/>
        <v>4</v>
      </c>
      <c r="BE4" s="10">
        <f t="shared" si="78"/>
        <v>5</v>
      </c>
      <c r="BF4" s="10">
        <f t="shared" si="78"/>
        <v>6</v>
      </c>
      <c r="BG4" s="10">
        <f t="shared" si="78"/>
        <v>7</v>
      </c>
      <c r="BH4" s="10">
        <f t="shared" si="78"/>
        <v>8</v>
      </c>
      <c r="BI4" s="10">
        <f t="shared" si="78"/>
        <v>9</v>
      </c>
      <c r="BJ4" s="10">
        <f t="shared" si="78"/>
        <v>10</v>
      </c>
      <c r="BK4" s="10">
        <f t="shared" ref="BK4:DK4" si="79">BK3-ProgramYear</f>
        <v>11</v>
      </c>
      <c r="BL4" s="10">
        <f t="shared" si="79"/>
        <v>12</v>
      </c>
      <c r="BM4" s="10">
        <f t="shared" si="79"/>
        <v>13</v>
      </c>
      <c r="BN4" s="10">
        <f t="shared" si="79"/>
        <v>14</v>
      </c>
      <c r="BO4" s="10">
        <f t="shared" si="79"/>
        <v>15</v>
      </c>
      <c r="BP4" s="10">
        <f t="shared" si="79"/>
        <v>16</v>
      </c>
      <c r="BQ4" s="10">
        <f t="shared" si="79"/>
        <v>17</v>
      </c>
      <c r="BR4" s="10">
        <f t="shared" si="79"/>
        <v>18</v>
      </c>
      <c r="BS4" s="10">
        <f t="shared" si="79"/>
        <v>19</v>
      </c>
      <c r="BT4" s="11">
        <f t="shared" si="79"/>
        <v>20</v>
      </c>
      <c r="BU4" s="9">
        <f t="shared" ref="BU4" si="80">BU3-ProgramYear</f>
        <v>0</v>
      </c>
      <c r="BV4" s="10">
        <f t="shared" ref="BV4" si="81">BV3-ProgramYear</f>
        <v>1</v>
      </c>
      <c r="BW4" s="10">
        <f t="shared" ref="BW4" si="82">BW3-ProgramYear</f>
        <v>2</v>
      </c>
      <c r="BX4" s="10">
        <f t="shared" ref="BX4" si="83">BX3-ProgramYear</f>
        <v>3</v>
      </c>
      <c r="BY4" s="10">
        <f t="shared" ref="BY4" si="84">BY3-ProgramYear</f>
        <v>4</v>
      </c>
      <c r="BZ4" s="10">
        <f t="shared" ref="BZ4" si="85">BZ3-ProgramYear</f>
        <v>5</v>
      </c>
      <c r="CA4" s="10">
        <f t="shared" ref="CA4" si="86">CA3-ProgramYear</f>
        <v>6</v>
      </c>
      <c r="CB4" s="10">
        <f t="shared" ref="CB4" si="87">CB3-ProgramYear</f>
        <v>7</v>
      </c>
      <c r="CC4" s="10">
        <f t="shared" ref="CC4" si="88">CC3-ProgramYear</f>
        <v>8</v>
      </c>
      <c r="CD4" s="10">
        <f t="shared" ref="CD4" si="89">CD3-ProgramYear</f>
        <v>9</v>
      </c>
      <c r="CE4" s="10">
        <f t="shared" ref="CE4" si="90">CE3-ProgramYear</f>
        <v>10</v>
      </c>
      <c r="CF4" s="10">
        <f t="shared" ref="CF4" si="91">CF3-ProgramYear</f>
        <v>11</v>
      </c>
      <c r="CG4" s="10">
        <f t="shared" ref="CG4" si="92">CG3-ProgramYear</f>
        <v>12</v>
      </c>
      <c r="CH4" s="10">
        <f t="shared" ref="CH4" si="93">CH3-ProgramYear</f>
        <v>13</v>
      </c>
      <c r="CI4" s="10">
        <f t="shared" ref="CI4" si="94">CI3-ProgramYear</f>
        <v>14</v>
      </c>
      <c r="CJ4" s="10">
        <f t="shared" ref="CJ4" si="95">CJ3-ProgramYear</f>
        <v>15</v>
      </c>
      <c r="CK4" s="10">
        <f t="shared" ref="CK4" si="96">CK3-ProgramYear</f>
        <v>16</v>
      </c>
      <c r="CL4" s="10">
        <f t="shared" ref="CL4" si="97">CL3-ProgramYear</f>
        <v>17</v>
      </c>
      <c r="CM4" s="10">
        <f t="shared" ref="CM4" si="98">CM3-ProgramYear</f>
        <v>18</v>
      </c>
      <c r="CN4" s="10">
        <f t="shared" ref="CN4" si="99">CN3-ProgramYear</f>
        <v>19</v>
      </c>
      <c r="CO4" s="11">
        <f t="shared" ref="CO4" si="100">CO3-ProgramYear</f>
        <v>20</v>
      </c>
      <c r="CP4" s="9">
        <f t="shared" si="79"/>
        <v>0</v>
      </c>
      <c r="CQ4" s="10">
        <f t="shared" si="79"/>
        <v>1</v>
      </c>
      <c r="CR4" s="10">
        <f t="shared" si="79"/>
        <v>2</v>
      </c>
      <c r="CS4" s="10">
        <f t="shared" si="79"/>
        <v>3</v>
      </c>
      <c r="CT4" s="10">
        <f t="shared" si="79"/>
        <v>4</v>
      </c>
      <c r="CU4" s="10">
        <f t="shared" si="79"/>
        <v>5</v>
      </c>
      <c r="CV4" s="10">
        <f t="shared" si="79"/>
        <v>6</v>
      </c>
      <c r="CW4" s="10">
        <f t="shared" si="79"/>
        <v>7</v>
      </c>
      <c r="CX4" s="10">
        <f t="shared" si="79"/>
        <v>8</v>
      </c>
      <c r="CY4" s="10">
        <f t="shared" si="79"/>
        <v>9</v>
      </c>
      <c r="CZ4" s="10">
        <f t="shared" si="79"/>
        <v>10</v>
      </c>
      <c r="DA4" s="10">
        <f t="shared" si="79"/>
        <v>11</v>
      </c>
      <c r="DB4" s="10">
        <f t="shared" si="79"/>
        <v>12</v>
      </c>
      <c r="DC4" s="10">
        <f t="shared" si="79"/>
        <v>13</v>
      </c>
      <c r="DD4" s="10">
        <f t="shared" si="79"/>
        <v>14</v>
      </c>
      <c r="DE4" s="10">
        <f t="shared" si="79"/>
        <v>15</v>
      </c>
      <c r="DF4" s="10">
        <f t="shared" si="79"/>
        <v>16</v>
      </c>
      <c r="DG4" s="10">
        <f t="shared" si="79"/>
        <v>17</v>
      </c>
      <c r="DH4" s="10">
        <f t="shared" si="79"/>
        <v>18</v>
      </c>
      <c r="DI4" s="10">
        <f t="shared" si="79"/>
        <v>19</v>
      </c>
      <c r="DJ4" s="10">
        <f t="shared" si="79"/>
        <v>20</v>
      </c>
      <c r="DK4" s="9">
        <f t="shared" si="79"/>
        <v>0</v>
      </c>
      <c r="DL4" s="10">
        <f t="shared" ref="DL4:EE4" si="101">DL3-ProgramYear</f>
        <v>1</v>
      </c>
      <c r="DM4" s="10">
        <f t="shared" si="101"/>
        <v>2</v>
      </c>
      <c r="DN4" s="10">
        <f t="shared" si="101"/>
        <v>3</v>
      </c>
      <c r="DO4" s="10">
        <f t="shared" si="101"/>
        <v>4</v>
      </c>
      <c r="DP4" s="10">
        <f t="shared" si="101"/>
        <v>5</v>
      </c>
      <c r="DQ4" s="10">
        <f t="shared" si="101"/>
        <v>6</v>
      </c>
      <c r="DR4" s="10">
        <f t="shared" si="101"/>
        <v>7</v>
      </c>
      <c r="DS4" s="10">
        <f t="shared" si="101"/>
        <v>8</v>
      </c>
      <c r="DT4" s="10">
        <f t="shared" si="101"/>
        <v>9</v>
      </c>
      <c r="DU4" s="10">
        <f t="shared" si="101"/>
        <v>10</v>
      </c>
      <c r="DV4" s="10">
        <f t="shared" si="101"/>
        <v>11</v>
      </c>
      <c r="DW4" s="10">
        <f t="shared" si="101"/>
        <v>12</v>
      </c>
      <c r="DX4" s="10">
        <f t="shared" si="101"/>
        <v>13</v>
      </c>
      <c r="DY4" s="10">
        <f t="shared" si="101"/>
        <v>14</v>
      </c>
      <c r="DZ4" s="10">
        <f t="shared" si="101"/>
        <v>15</v>
      </c>
      <c r="EA4" s="10">
        <f t="shared" si="101"/>
        <v>16</v>
      </c>
      <c r="EB4" s="10">
        <f t="shared" si="101"/>
        <v>17</v>
      </c>
      <c r="EC4" s="10">
        <f t="shared" si="101"/>
        <v>18</v>
      </c>
      <c r="ED4" s="10">
        <f t="shared" si="101"/>
        <v>19</v>
      </c>
      <c r="EE4" s="11">
        <f t="shared" si="101"/>
        <v>20</v>
      </c>
      <c r="EF4" s="9">
        <f t="shared" ref="EF4" si="102">EF3-ProgramYear</f>
        <v>0</v>
      </c>
      <c r="EG4" s="10">
        <f t="shared" ref="EG4" si="103">EG3-ProgramYear</f>
        <v>1</v>
      </c>
      <c r="EH4" s="10">
        <f t="shared" ref="EH4" si="104">EH3-ProgramYear</f>
        <v>2</v>
      </c>
      <c r="EI4" s="10">
        <f t="shared" ref="EI4" si="105">EI3-ProgramYear</f>
        <v>3</v>
      </c>
      <c r="EJ4" s="10">
        <f t="shared" ref="EJ4" si="106">EJ3-ProgramYear</f>
        <v>4</v>
      </c>
      <c r="EK4" s="10">
        <f t="shared" ref="EK4" si="107">EK3-ProgramYear</f>
        <v>5</v>
      </c>
      <c r="EL4" s="10">
        <f t="shared" ref="EL4" si="108">EL3-ProgramYear</f>
        <v>6</v>
      </c>
      <c r="EM4" s="10">
        <f t="shared" ref="EM4" si="109">EM3-ProgramYear</f>
        <v>7</v>
      </c>
      <c r="EN4" s="10">
        <f t="shared" ref="EN4" si="110">EN3-ProgramYear</f>
        <v>8</v>
      </c>
      <c r="EO4" s="10">
        <f t="shared" ref="EO4" si="111">EO3-ProgramYear</f>
        <v>9</v>
      </c>
      <c r="EP4" s="10">
        <f t="shared" ref="EP4" si="112">EP3-ProgramYear</f>
        <v>10</v>
      </c>
      <c r="EQ4" s="10">
        <f t="shared" ref="EQ4" si="113">EQ3-ProgramYear</f>
        <v>11</v>
      </c>
      <c r="ER4" s="10">
        <f t="shared" ref="ER4" si="114">ER3-ProgramYear</f>
        <v>12</v>
      </c>
      <c r="ES4" s="10">
        <f t="shared" ref="ES4" si="115">ES3-ProgramYear</f>
        <v>13</v>
      </c>
      <c r="ET4" s="10">
        <f t="shared" ref="ET4" si="116">ET3-ProgramYear</f>
        <v>14</v>
      </c>
      <c r="EU4" s="10">
        <f t="shared" ref="EU4" si="117">EU3-ProgramYear</f>
        <v>15</v>
      </c>
      <c r="EV4" s="10">
        <f t="shared" ref="EV4" si="118">EV3-ProgramYear</f>
        <v>16</v>
      </c>
      <c r="EW4" s="10">
        <f t="shared" ref="EW4" si="119">EW3-ProgramYear</f>
        <v>17</v>
      </c>
      <c r="EX4" s="10">
        <f t="shared" ref="EX4" si="120">EX3-ProgramYear</f>
        <v>18</v>
      </c>
      <c r="EY4" s="10">
        <f t="shared" ref="EY4" si="121">EY3-ProgramYear</f>
        <v>19</v>
      </c>
      <c r="EZ4" s="11">
        <f t="shared" ref="EZ4" si="122">EZ3-ProgramYear</f>
        <v>20</v>
      </c>
    </row>
    <row r="5" spans="1:157" customFormat="1" ht="28.8" x14ac:dyDescent="0.3">
      <c r="A5" s="33" t="s">
        <v>2</v>
      </c>
      <c r="B5" s="33" t="s">
        <v>31</v>
      </c>
      <c r="C5" s="33" t="s">
        <v>32</v>
      </c>
      <c r="D5" s="33" t="s">
        <v>33</v>
      </c>
      <c r="E5" s="33" t="s">
        <v>299</v>
      </c>
      <c r="F5" s="33" t="s">
        <v>30</v>
      </c>
      <c r="G5" s="33" t="s">
        <v>127</v>
      </c>
      <c r="H5" s="33" t="s">
        <v>128</v>
      </c>
      <c r="I5" s="32" t="s">
        <v>26</v>
      </c>
      <c r="J5" s="33" t="s">
        <v>28</v>
      </c>
      <c r="K5" s="33" t="s">
        <v>34</v>
      </c>
      <c r="L5" s="15" t="s">
        <v>27</v>
      </c>
      <c r="M5" s="15" t="s">
        <v>29</v>
      </c>
      <c r="N5" s="15" t="s">
        <v>35</v>
      </c>
      <c r="O5" s="15" t="s">
        <v>256</v>
      </c>
      <c r="P5" s="15" t="s">
        <v>257</v>
      </c>
      <c r="Q5" s="15" t="s">
        <v>258</v>
      </c>
      <c r="R5" s="16" t="s">
        <v>21</v>
      </c>
      <c r="S5" s="17" t="s">
        <v>253</v>
      </c>
      <c r="T5" s="17" t="s">
        <v>23</v>
      </c>
      <c r="U5" s="17" t="s">
        <v>22</v>
      </c>
      <c r="V5" s="17" t="s">
        <v>24</v>
      </c>
      <c r="W5" s="17" t="s">
        <v>25</v>
      </c>
      <c r="X5" s="17" t="s">
        <v>297</v>
      </c>
      <c r="Y5" s="17" t="s">
        <v>284</v>
      </c>
      <c r="Z5" s="17" t="s">
        <v>285</v>
      </c>
      <c r="AA5" s="18" t="s">
        <v>121</v>
      </c>
      <c r="AB5" s="19" t="s">
        <v>122</v>
      </c>
      <c r="AC5" s="18" t="s">
        <v>123</v>
      </c>
      <c r="AD5" s="58" t="s">
        <v>124</v>
      </c>
      <c r="AE5" s="20" t="s">
        <v>129</v>
      </c>
      <c r="AF5" s="53" t="s">
        <v>130</v>
      </c>
      <c r="AG5" s="53" t="s">
        <v>131</v>
      </c>
      <c r="AH5" s="53" t="s">
        <v>132</v>
      </c>
      <c r="AI5" s="53" t="s">
        <v>133</v>
      </c>
      <c r="AJ5" s="53" t="s">
        <v>134</v>
      </c>
      <c r="AK5" s="53" t="s">
        <v>135</v>
      </c>
      <c r="AL5" s="53" t="s">
        <v>136</v>
      </c>
      <c r="AM5" s="53" t="s">
        <v>137</v>
      </c>
      <c r="AN5" s="53" t="s">
        <v>138</v>
      </c>
      <c r="AO5" s="53" t="s">
        <v>139</v>
      </c>
      <c r="AP5" s="53" t="s">
        <v>140</v>
      </c>
      <c r="AQ5" s="53" t="s">
        <v>141</v>
      </c>
      <c r="AR5" s="53" t="s">
        <v>142</v>
      </c>
      <c r="AS5" s="53" t="s">
        <v>143</v>
      </c>
      <c r="AT5" s="53" t="s">
        <v>144</v>
      </c>
      <c r="AU5" s="53" t="s">
        <v>145</v>
      </c>
      <c r="AV5" s="53" t="s">
        <v>146</v>
      </c>
      <c r="AW5" s="53" t="s">
        <v>147</v>
      </c>
      <c r="AX5" s="53" t="s">
        <v>148</v>
      </c>
      <c r="AY5" s="54" t="s">
        <v>149</v>
      </c>
      <c r="AZ5" s="21" t="s">
        <v>150</v>
      </c>
      <c r="BA5" s="22" t="s">
        <v>151</v>
      </c>
      <c r="BB5" s="22" t="s">
        <v>152</v>
      </c>
      <c r="BC5" s="22" t="s">
        <v>153</v>
      </c>
      <c r="BD5" s="22" t="s">
        <v>154</v>
      </c>
      <c r="BE5" s="22" t="s">
        <v>155</v>
      </c>
      <c r="BF5" s="22" t="s">
        <v>156</v>
      </c>
      <c r="BG5" s="22" t="s">
        <v>157</v>
      </c>
      <c r="BH5" s="22" t="s">
        <v>158</v>
      </c>
      <c r="BI5" s="22" t="s">
        <v>159</v>
      </c>
      <c r="BJ5" s="22" t="s">
        <v>160</v>
      </c>
      <c r="BK5" s="22" t="s">
        <v>161</v>
      </c>
      <c r="BL5" s="22" t="s">
        <v>162</v>
      </c>
      <c r="BM5" s="22" t="s">
        <v>163</v>
      </c>
      <c r="BN5" s="22" t="s">
        <v>164</v>
      </c>
      <c r="BO5" s="22" t="s">
        <v>165</v>
      </c>
      <c r="BP5" s="22" t="s">
        <v>166</v>
      </c>
      <c r="BQ5" s="22" t="s">
        <v>167</v>
      </c>
      <c r="BR5" s="22" t="s">
        <v>168</v>
      </c>
      <c r="BS5" s="22" t="s">
        <v>169</v>
      </c>
      <c r="BT5" s="23" t="s">
        <v>170</v>
      </c>
      <c r="BU5" s="88" t="s">
        <v>259</v>
      </c>
      <c r="BV5" s="88" t="s">
        <v>260</v>
      </c>
      <c r="BW5" s="88" t="s">
        <v>261</v>
      </c>
      <c r="BX5" s="88" t="s">
        <v>262</v>
      </c>
      <c r="BY5" s="88" t="s">
        <v>263</v>
      </c>
      <c r="BZ5" s="88" t="s">
        <v>264</v>
      </c>
      <c r="CA5" s="88" t="s">
        <v>265</v>
      </c>
      <c r="CB5" s="88" t="s">
        <v>266</v>
      </c>
      <c r="CC5" s="88" t="s">
        <v>267</v>
      </c>
      <c r="CD5" s="88" t="s">
        <v>268</v>
      </c>
      <c r="CE5" s="88" t="s">
        <v>269</v>
      </c>
      <c r="CF5" s="88" t="s">
        <v>270</v>
      </c>
      <c r="CG5" s="88" t="s">
        <v>271</v>
      </c>
      <c r="CH5" s="88" t="s">
        <v>272</v>
      </c>
      <c r="CI5" s="88" t="s">
        <v>273</v>
      </c>
      <c r="CJ5" s="88" t="s">
        <v>274</v>
      </c>
      <c r="CK5" s="88" t="s">
        <v>275</v>
      </c>
      <c r="CL5" s="88" t="s">
        <v>276</v>
      </c>
      <c r="CM5" s="88" t="s">
        <v>277</v>
      </c>
      <c r="CN5" s="88" t="s">
        <v>278</v>
      </c>
      <c r="CO5" s="88" t="s">
        <v>279</v>
      </c>
      <c r="CP5" s="82" t="s">
        <v>171</v>
      </c>
      <c r="CQ5" s="83" t="s">
        <v>172</v>
      </c>
      <c r="CR5" s="83" t="s">
        <v>173</v>
      </c>
      <c r="CS5" s="83" t="s">
        <v>174</v>
      </c>
      <c r="CT5" s="83" t="s">
        <v>175</v>
      </c>
      <c r="CU5" s="83" t="s">
        <v>176</v>
      </c>
      <c r="CV5" s="83" t="s">
        <v>177</v>
      </c>
      <c r="CW5" s="83" t="s">
        <v>178</v>
      </c>
      <c r="CX5" s="83" t="s">
        <v>179</v>
      </c>
      <c r="CY5" s="83" t="s">
        <v>180</v>
      </c>
      <c r="CZ5" s="83" t="s">
        <v>181</v>
      </c>
      <c r="DA5" s="83" t="s">
        <v>182</v>
      </c>
      <c r="DB5" s="83" t="s">
        <v>183</v>
      </c>
      <c r="DC5" s="83" t="s">
        <v>184</v>
      </c>
      <c r="DD5" s="83" t="s">
        <v>185</v>
      </c>
      <c r="DE5" s="83" t="s">
        <v>186</v>
      </c>
      <c r="DF5" s="83" t="s">
        <v>187</v>
      </c>
      <c r="DG5" s="83" t="s">
        <v>188</v>
      </c>
      <c r="DH5" s="83" t="s">
        <v>189</v>
      </c>
      <c r="DI5" s="83" t="s">
        <v>190</v>
      </c>
      <c r="DJ5" s="84" t="s">
        <v>191</v>
      </c>
      <c r="DK5" s="16" t="s">
        <v>192</v>
      </c>
      <c r="DL5" s="17" t="s">
        <v>193</v>
      </c>
      <c r="DM5" s="17" t="s">
        <v>194</v>
      </c>
      <c r="DN5" s="17" t="s">
        <v>195</v>
      </c>
      <c r="DO5" s="17" t="s">
        <v>196</v>
      </c>
      <c r="DP5" s="17" t="s">
        <v>197</v>
      </c>
      <c r="DQ5" s="17" t="s">
        <v>198</v>
      </c>
      <c r="DR5" s="17" t="s">
        <v>199</v>
      </c>
      <c r="DS5" s="17" t="s">
        <v>200</v>
      </c>
      <c r="DT5" s="17" t="s">
        <v>201</v>
      </c>
      <c r="DU5" s="17" t="s">
        <v>202</v>
      </c>
      <c r="DV5" s="17" t="s">
        <v>203</v>
      </c>
      <c r="DW5" s="17" t="s">
        <v>204</v>
      </c>
      <c r="DX5" s="17" t="s">
        <v>205</v>
      </c>
      <c r="DY5" s="17" t="s">
        <v>206</v>
      </c>
      <c r="DZ5" s="17" t="s">
        <v>207</v>
      </c>
      <c r="EA5" s="17" t="s">
        <v>208</v>
      </c>
      <c r="EB5" s="17" t="s">
        <v>209</v>
      </c>
      <c r="EC5" s="17" t="s">
        <v>210</v>
      </c>
      <c r="ED5" s="17" t="s">
        <v>211</v>
      </c>
      <c r="EE5" s="85" t="s">
        <v>212</v>
      </c>
      <c r="EF5" s="98" t="s">
        <v>306</v>
      </c>
      <c r="EG5" s="98" t="s">
        <v>307</v>
      </c>
      <c r="EH5" s="98" t="s">
        <v>308</v>
      </c>
      <c r="EI5" s="98" t="s">
        <v>309</v>
      </c>
      <c r="EJ5" s="98" t="s">
        <v>310</v>
      </c>
      <c r="EK5" s="98" t="s">
        <v>311</v>
      </c>
      <c r="EL5" s="98" t="s">
        <v>312</v>
      </c>
      <c r="EM5" s="98" t="s">
        <v>313</v>
      </c>
      <c r="EN5" s="98" t="s">
        <v>314</v>
      </c>
      <c r="EO5" s="98" t="s">
        <v>315</v>
      </c>
      <c r="EP5" s="98" t="s">
        <v>316</v>
      </c>
      <c r="EQ5" s="98" t="s">
        <v>317</v>
      </c>
      <c r="ER5" s="98" t="s">
        <v>318</v>
      </c>
      <c r="ES5" s="98" t="s">
        <v>319</v>
      </c>
      <c r="ET5" s="98" t="s">
        <v>320</v>
      </c>
      <c r="EU5" s="98" t="s">
        <v>321</v>
      </c>
      <c r="EV5" s="98" t="s">
        <v>322</v>
      </c>
      <c r="EW5" s="98" t="s">
        <v>323</v>
      </c>
      <c r="EX5" s="19" t="s">
        <v>324</v>
      </c>
      <c r="EY5" s="19" t="s">
        <v>325</v>
      </c>
      <c r="EZ5" s="58" t="s">
        <v>326</v>
      </c>
      <c r="FA5" s="22" t="s">
        <v>245</v>
      </c>
    </row>
    <row r="6" spans="1:157" customFormat="1" ht="15" x14ac:dyDescent="0.35">
      <c r="A6" t="s">
        <v>18</v>
      </c>
      <c r="B6" t="s">
        <v>7</v>
      </c>
      <c r="C6" t="s">
        <v>38</v>
      </c>
      <c r="D6" t="s">
        <v>37</v>
      </c>
      <c r="E6" t="s">
        <v>16</v>
      </c>
      <c r="F6" s="46">
        <v>8760</v>
      </c>
      <c r="G6" s="14">
        <f ca="1">OM.Table[[#This Row],[PV.Baseline.TOS]]-OM.Table[[#This Row],[PV.Efficient.TOS]]</f>
        <v>26.924360215635399</v>
      </c>
      <c r="H6" s="14">
        <f ca="1">OM.Table[[#This Row],[PV.Baseline.ER]]-OM.Table[[#This Row],[PV.Efficient.ER]]</f>
        <v>24.727267269941535</v>
      </c>
      <c r="I6" s="47" t="s">
        <v>16</v>
      </c>
      <c r="J6" s="48" t="s">
        <v>16</v>
      </c>
      <c r="K6" s="49" t="str">
        <f>IFERROR(OM.Table[[#This Row],[Eff.Equip.Cost]]+OM.Table[[#This Row],[Eff.Labor.Cost]],"NA")</f>
        <v>NA</v>
      </c>
      <c r="L6" s="48">
        <v>3.38</v>
      </c>
      <c r="M6" s="48">
        <f>(15/60)*MaintenanceWageRate</f>
        <v>4.9785057716614496</v>
      </c>
      <c r="N6" s="49">
        <f>IFERROR(OM.Table[[#This Row],[Base.Equip.Cost]]+OM.Table[[#This Row],[Base.Labor.Cost]],"NA")</f>
        <v>8.3585057716614486</v>
      </c>
      <c r="O6" s="87" t="s">
        <v>16</v>
      </c>
      <c r="P6" s="87" t="s">
        <v>16</v>
      </c>
      <c r="Q6" s="49" t="str">
        <f>IFERROR(OM.Table[[#This Row],[2nd.Base.Equip.Cost]]+OM.Table[[#This Row],[2nd.Base.Labor.Cost]],"NA")</f>
        <v>NA</v>
      </c>
      <c r="R6" s="50">
        <v>5</v>
      </c>
      <c r="S6" s="5">
        <f>OM.Table[[#This Row],[Measure.Life.Yrs]]/3</f>
        <v>1.6666666666666667</v>
      </c>
      <c r="T6" s="7" t="s">
        <v>16</v>
      </c>
      <c r="U6" s="51" t="str">
        <f>IFERROR(OM.Table[[#This Row],[Eff.Life.Hrs]]/OM.Table[[#This Row],[Annual.HOU]],"NA")</f>
        <v>NA</v>
      </c>
      <c r="V6" s="52">
        <v>10000</v>
      </c>
      <c r="W6" s="5">
        <f>IFERROR(OM.Table[[#This Row],[Base.Life.Hrs]]/OM.Table[[#This Row],[Annual.HOU]],"NA")</f>
        <v>1.1415525114155252</v>
      </c>
      <c r="X6" s="90" t="s">
        <v>16</v>
      </c>
      <c r="Y6" s="90" t="s">
        <v>16</v>
      </c>
      <c r="Z6" s="51" t="str">
        <f>IFERROR(OM.Table[[#This Row],[2nd.Base.Life.Hrs]]/OM.Table[[#This Row],[Annual.HOU]],"NA")</f>
        <v>NA</v>
      </c>
      <c r="AA6" s="13">
        <f>NPV(DiscountRate,OM.Table[[#This Row],[Eff.Annual.Cost.Y00.TOS]:[Eff.Annual.Cost.Y20.TOS]])</f>
        <v>0</v>
      </c>
      <c r="AB6"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26.924360215635399</v>
      </c>
      <c r="AC6" s="13">
        <f>NPV(DiscountRate,OM.Table[[#This Row],[Eff.Annual.Cost.Y00.ER]:[Eff.Annual.Cost.Y20.ER]])</f>
        <v>0</v>
      </c>
      <c r="AD6" s="14">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24.727267269941535</v>
      </c>
      <c r="AE6"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6"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6"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6"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6"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6"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6"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6"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6"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6"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6"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6"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6"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6"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6"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6"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6"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6"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6"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6"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6" s="44">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6"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2.3069475929785601</v>
      </c>
      <c r="BA6"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7.3220510559754288</v>
      </c>
      <c r="BB6"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7.3220510559754288</v>
      </c>
      <c r="BC6"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7.3220510559754288</v>
      </c>
      <c r="BD6"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7.3220510559754288</v>
      </c>
      <c r="BE6"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6"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6"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6"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6"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6"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6"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6"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6"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6"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6"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6"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6"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6"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6"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6"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6"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6"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6"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6"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6"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6"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6"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6"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6"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6"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6"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6"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6"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6"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6"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6"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6"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6"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6"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6"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6"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6"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6"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6"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6"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6"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6"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6"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6"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6"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6"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6"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6"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6"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6"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6"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6"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6"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6"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6"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6"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6" s="56">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6"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6"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7.3220510559754288</v>
      </c>
      <c r="DM6"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7.3220510559754288</v>
      </c>
      <c r="DN6"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7.3220510559754288</v>
      </c>
      <c r="DO6"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7.3220510559754288</v>
      </c>
      <c r="DP6"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6"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6"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6"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6"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6"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6"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6"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6"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6"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6"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6"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6"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6"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6"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6"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6"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6"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6"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6"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6"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6"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6"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6"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6"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6"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6"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6"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6"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6"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6"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6"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6"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6"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6"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6"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6"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6" s="95" t="s">
        <v>251</v>
      </c>
    </row>
    <row r="7" spans="1:157" customFormat="1" ht="15" x14ac:dyDescent="0.35">
      <c r="A7" t="s">
        <v>18</v>
      </c>
      <c r="B7" t="s">
        <v>9</v>
      </c>
      <c r="C7" t="s">
        <v>10</v>
      </c>
      <c r="D7" t="s">
        <v>11</v>
      </c>
      <c r="E7" t="s">
        <v>16</v>
      </c>
      <c r="F7" s="46">
        <v>3500</v>
      </c>
      <c r="G7" s="14">
        <f ca="1">OM.Table[[#This Row],[PV.Baseline.TOS]]-OM.Table[[#This Row],[PV.Efficient.TOS]]</f>
        <v>2.7876478515136425</v>
      </c>
      <c r="H7" s="14">
        <f ca="1">OM.Table[[#This Row],[PV.Baseline.ER]]-OM.Table[[#This Row],[PV.Efficient.ER]]</f>
        <v>3.5909969915384181</v>
      </c>
      <c r="I7" s="47" t="s">
        <v>16</v>
      </c>
      <c r="J7" s="48" t="s">
        <v>16</v>
      </c>
      <c r="K7" s="49" t="str">
        <f>IFERROR(OM.Table[[#This Row],[Eff.Equip.Cost]]+OM.Table[[#This Row],[Eff.Labor.Cost]],"NA")</f>
        <v>NA</v>
      </c>
      <c r="L7" s="48">
        <v>2.25</v>
      </c>
      <c r="M7" s="48">
        <f>(8.889/100)*MaintenanceWageRate</f>
        <v>1.7701575121719451</v>
      </c>
      <c r="N7" s="49">
        <f>IFERROR(OM.Table[[#This Row],[Base.Equip.Cost]]+OM.Table[[#This Row],[Base.Labor.Cost]],"NA")</f>
        <v>4.0201575121719451</v>
      </c>
      <c r="O7" s="87" t="s">
        <v>16</v>
      </c>
      <c r="P7" s="87" t="s">
        <v>16</v>
      </c>
      <c r="Q7" s="49" t="str">
        <f>IFERROR(OM.Table[[#This Row],[2nd.Base.Equip.Cost]]+OM.Table[[#This Row],[2nd.Base.Labor.Cost]],"NA")</f>
        <v>NA</v>
      </c>
      <c r="R7" s="50">
        <v>15</v>
      </c>
      <c r="S7" s="5">
        <f>OM.Table[[#This Row],[Measure.Life.Yrs]]/3</f>
        <v>5</v>
      </c>
      <c r="T7" s="7" t="s">
        <v>16</v>
      </c>
      <c r="U7" s="51" t="str">
        <f>IFERROR(OM.Table[[#This Row],[Eff.Life.Hrs]]/OM.Table[[#This Row],[Annual.HOU]],"NA")</f>
        <v>NA</v>
      </c>
      <c r="V7" s="52">
        <v>30000</v>
      </c>
      <c r="W7" s="5">
        <f>IFERROR(OM.Table[[#This Row],[Base.Life.Hrs]]/OM.Table[[#This Row],[Annual.HOU]],"NA")</f>
        <v>8.5714285714285712</v>
      </c>
      <c r="X7" s="90" t="s">
        <v>16</v>
      </c>
      <c r="Y7" s="90" t="s">
        <v>16</v>
      </c>
      <c r="Z7" s="51" t="str">
        <f>IFERROR(OM.Table[[#This Row],[2nd.Base.Life.Hrs]]/OM.Table[[#This Row],[Annual.HOU]],"NA")</f>
        <v>NA</v>
      </c>
      <c r="AA7" s="13">
        <f>NPV(DiscountRate,OM.Table[[#This Row],[Eff.Annual.Cost.Y00.TOS]:[Eff.Annual.Cost.Y20.TOS]])</f>
        <v>0</v>
      </c>
      <c r="AB7"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2.7876478515136425</v>
      </c>
      <c r="AC7" s="13">
        <f>NPV(DiscountRate,OM.Table[[#This Row],[Eff.Annual.Cost.Y00.ER]:[Eff.Annual.Cost.Y20.ER]])</f>
        <v>0</v>
      </c>
      <c r="AD7"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3.5909969915384181</v>
      </c>
      <c r="AE7"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7"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7"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7"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7"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7"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7"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7"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7"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7"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7"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7"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7"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7"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7"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7"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7"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7"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7"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7"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7"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7"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7"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7"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0</v>
      </c>
      <c r="BC7"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7"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7"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0.40201575121719474</v>
      </c>
      <c r="BF7"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0.46901837642006028</v>
      </c>
      <c r="BG7"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0.46901837642006028</v>
      </c>
      <c r="BH7"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0.46901837642006028</v>
      </c>
      <c r="BI7"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0.46901837642006028</v>
      </c>
      <c r="BJ7"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0.46901837642006028</v>
      </c>
      <c r="BK7"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0.46901837642006028</v>
      </c>
      <c r="BL7"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0.46901837642006028</v>
      </c>
      <c r="BM7"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0.46901837642006028</v>
      </c>
      <c r="BN7"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0.46901837642006028</v>
      </c>
      <c r="BO7"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7"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7"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7"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7"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7"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7"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7"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7"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7"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7"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7"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7"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7"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7"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7"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7"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7"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7"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7"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7"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7"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7"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7"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7"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7"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7"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7"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7"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7"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7"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7"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7"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7"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7"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7"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7"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7"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7"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7"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7"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7"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7"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7"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7"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7"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7"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7"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7"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7"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7"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7"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0.46901837642006028</v>
      </c>
      <c r="DO7"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0.46901837642006028</v>
      </c>
      <c r="DP7"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0.46901837642006028</v>
      </c>
      <c r="DQ7"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0.46901837642006028</v>
      </c>
      <c r="DR7"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0.46901837642006028</v>
      </c>
      <c r="DS7"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0.46901837642006028</v>
      </c>
      <c r="DT7"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0.46901837642006028</v>
      </c>
      <c r="DU7"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0.46901837642006028</v>
      </c>
      <c r="DV7"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0.46901837642006028</v>
      </c>
      <c r="DW7"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0.46901837642006028</v>
      </c>
      <c r="DX7"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0.46901837642006028</v>
      </c>
      <c r="DY7"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0.46901837642006028</v>
      </c>
      <c r="DZ7"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7"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7"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7"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7"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7"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7"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7"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7"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7"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7"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7"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7"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7"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7"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7"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7"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7"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7"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7"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7"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7"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7"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7"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7"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7"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7"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7" s="95" t="s">
        <v>246</v>
      </c>
    </row>
    <row r="8" spans="1:157" customFormat="1" ht="15" x14ac:dyDescent="0.35">
      <c r="A8" t="s">
        <v>18</v>
      </c>
      <c r="B8" t="s">
        <v>109</v>
      </c>
      <c r="C8" s="31" t="s">
        <v>54</v>
      </c>
      <c r="D8" s="31" t="s">
        <v>19</v>
      </c>
      <c r="E8" t="s">
        <v>16</v>
      </c>
      <c r="F8" s="46">
        <v>3338</v>
      </c>
      <c r="G8" s="14">
        <f ca="1">OM.Table[[#This Row],[PV.Baseline.TOS]]-OM.Table[[#This Row],[PV.Efficient.TOS]]</f>
        <v>30.504546940932414</v>
      </c>
      <c r="H8" s="14">
        <f ca="1">OM.Table[[#This Row],[PV.Baseline.ER]]-OM.Table[[#This Row],[PV.Efficient.ER]]</f>
        <v>29.493694598016127</v>
      </c>
      <c r="I8" s="47" t="s">
        <v>16</v>
      </c>
      <c r="J8" s="48" t="s">
        <v>16</v>
      </c>
      <c r="K8" s="49" t="str">
        <f>IFERROR(OM.Table[[#This Row],[Eff.Equip.Cost]]+OM.Table[[#This Row],[Eff.Labor.Cost]],"NA")</f>
        <v>NA</v>
      </c>
      <c r="L8" s="48">
        <v>12</v>
      </c>
      <c r="M8" s="48">
        <f>(26.667/100)*MaintenanceWageRate</f>
        <v>5.3104725365158352</v>
      </c>
      <c r="N8" s="49">
        <f>IFERROR(OM.Table[[#This Row],[Base.Equip.Cost]]+OM.Table[[#This Row],[Base.Labor.Cost]],"NA")</f>
        <v>17.310472536515835</v>
      </c>
      <c r="O8" s="87" t="s">
        <v>16</v>
      </c>
      <c r="P8" s="87" t="s">
        <v>16</v>
      </c>
      <c r="Q8" s="49" t="str">
        <f>IFERROR(OM.Table[[#This Row],[2nd.Base.Equip.Cost]]+OM.Table[[#This Row],[2nd.Base.Labor.Cost]],"NA")</f>
        <v>NA</v>
      </c>
      <c r="R8" s="50">
        <v>15</v>
      </c>
      <c r="S8" s="5">
        <f>OM.Table[[#This Row],[Measure.Life.Yrs]]/3</f>
        <v>5</v>
      </c>
      <c r="T8" s="7" t="s">
        <v>16</v>
      </c>
      <c r="U8" s="51" t="str">
        <f>IFERROR(OM.Table[[#This Row],[Eff.Life.Hrs]]/OM.Table[[#This Row],[Annual.HOU]],"NA")</f>
        <v>NA</v>
      </c>
      <c r="V8" s="52">
        <v>15000</v>
      </c>
      <c r="W8" s="5">
        <f>IFERROR(OM.Table[[#This Row],[Base.Life.Hrs]]/OM.Table[[#This Row],[Annual.HOU]],"NA")</f>
        <v>4.4937088076692628</v>
      </c>
      <c r="X8" s="90" t="s">
        <v>16</v>
      </c>
      <c r="Y8" s="90" t="s">
        <v>16</v>
      </c>
      <c r="Z8" s="51" t="str">
        <f>IFERROR(OM.Table[[#This Row],[2nd.Base.Life.Hrs]]/OM.Table[[#This Row],[Annual.HOU]],"NA")</f>
        <v>NA</v>
      </c>
      <c r="AA8" s="13">
        <f>NPV(DiscountRate,OM.Table[[#This Row],[Eff.Annual.Cost.Y00.TOS]:[Eff.Annual.Cost.Y20.TOS]])</f>
        <v>0</v>
      </c>
      <c r="AB8"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30.504546940932414</v>
      </c>
      <c r="AC8" s="13">
        <f>NPV(DiscountRate,OM.Table[[#This Row],[Eff.Annual.Cost.Y00.ER]:[Eff.Annual.Cost.Y20.ER]])</f>
        <v>0</v>
      </c>
      <c r="AD8"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29.493694598016127</v>
      </c>
      <c r="AE8"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8"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8"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8"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8"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8"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8"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8"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8"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8"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8"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8"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8"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8"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8"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8"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8"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8"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8"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8"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8"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8"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8"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8"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1.1701879434684714</v>
      </c>
      <c r="BC8" s="45">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3.8521571551259908</v>
      </c>
      <c r="BD8" s="45">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3.8521571551259908</v>
      </c>
      <c r="BE8"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3.8521571551259908</v>
      </c>
      <c r="BF8"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3.8521571551259908</v>
      </c>
      <c r="BG8"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3.8521571551259908</v>
      </c>
      <c r="BH8"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3.8521571551259908</v>
      </c>
      <c r="BI8"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3.8521571551259908</v>
      </c>
      <c r="BJ8"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3.8521571551259908</v>
      </c>
      <c r="BK8"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3.8521571551259908</v>
      </c>
      <c r="BL8"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3.8521571551259908</v>
      </c>
      <c r="BM8"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3.8521571551259908</v>
      </c>
      <c r="BN8"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3.8521571551259908</v>
      </c>
      <c r="BO8"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8"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8"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8"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8"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8"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8"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8"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8"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8"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8"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8"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8"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8"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8"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8"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8"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8"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8"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8"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8"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8"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8"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8"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8"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8"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8"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8"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8"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8"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8"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8"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8"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8"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8"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8"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8"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8"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8"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8"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8"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8"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8"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8"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8"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8"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8"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8"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8"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8"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8"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8"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3.8521571551259908</v>
      </c>
      <c r="DO8"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3.8521571551259908</v>
      </c>
      <c r="DP8"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3.8521571551259908</v>
      </c>
      <c r="DQ8"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3.8521571551259908</v>
      </c>
      <c r="DR8"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3.8521571551259908</v>
      </c>
      <c r="DS8"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3.8521571551259908</v>
      </c>
      <c r="DT8"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3.8521571551259908</v>
      </c>
      <c r="DU8"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3.8521571551259908</v>
      </c>
      <c r="DV8"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3.8521571551259908</v>
      </c>
      <c r="DW8"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3.8521571551259908</v>
      </c>
      <c r="DX8"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3.8521571551259908</v>
      </c>
      <c r="DY8"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3.8521571551259908</v>
      </c>
      <c r="DZ8"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8"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8"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8"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8"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8"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8"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8"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8"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8"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8"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8"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8"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8"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8"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8"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8"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8"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8"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8"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8"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8"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8"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8"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8"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8"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8"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8" s="95" t="s">
        <v>247</v>
      </c>
    </row>
    <row r="9" spans="1:157" customFormat="1" ht="15" x14ac:dyDescent="0.35">
      <c r="A9" t="s">
        <v>18</v>
      </c>
      <c r="B9" t="s">
        <v>52</v>
      </c>
      <c r="C9" t="s">
        <v>53</v>
      </c>
      <c r="D9" s="31" t="s">
        <v>19</v>
      </c>
      <c r="E9" t="s">
        <v>16</v>
      </c>
      <c r="F9" s="46">
        <v>4116</v>
      </c>
      <c r="G9" s="14">
        <f ca="1">OM.Table[[#This Row],[PV.Baseline.TOS]]-OM.Table[[#This Row],[PV.Efficient.TOS]]</f>
        <v>32.502585374748477</v>
      </c>
      <c r="H9" s="14">
        <f ca="1">OM.Table[[#This Row],[PV.Baseline.ER]]-OM.Table[[#This Row],[PV.Efficient.ER]]</f>
        <v>31.626912102541706</v>
      </c>
      <c r="I9" s="47" t="s">
        <v>16</v>
      </c>
      <c r="J9" s="48" t="s">
        <v>16</v>
      </c>
      <c r="K9" s="49" t="str">
        <f>IFERROR(OM.Table[[#This Row],[Eff.Equip.Cost]]+OM.Table[[#This Row],[Eff.Labor.Cost]],"NA")</f>
        <v>NA</v>
      </c>
      <c r="L9" s="48">
        <v>12</v>
      </c>
      <c r="M9" s="48">
        <f>(26.667/100)*MaintenanceWageRate</f>
        <v>5.3104725365158352</v>
      </c>
      <c r="N9" s="49">
        <f>IFERROR(OM.Table[[#This Row],[Base.Equip.Cost]]+OM.Table[[#This Row],[Base.Labor.Cost]],"NA")</f>
        <v>17.310472536515835</v>
      </c>
      <c r="O9" s="87" t="s">
        <v>16</v>
      </c>
      <c r="P9" s="87" t="s">
        <v>16</v>
      </c>
      <c r="Q9" s="49" t="str">
        <f>IFERROR(OM.Table[[#This Row],[2nd.Base.Equip.Cost]]+OM.Table[[#This Row],[2nd.Base.Labor.Cost]],"NA")</f>
        <v>NA</v>
      </c>
      <c r="R9" s="50">
        <v>12</v>
      </c>
      <c r="S9" s="5">
        <f>OM.Table[[#This Row],[Measure.Life.Yrs]]/3</f>
        <v>4</v>
      </c>
      <c r="T9" s="7" t="s">
        <v>16</v>
      </c>
      <c r="U9" s="51" t="str">
        <f>IFERROR(OM.Table[[#This Row],[Eff.Life.Hrs]]/OM.Table[[#This Row],[Annual.HOU]],"NA")</f>
        <v>NA</v>
      </c>
      <c r="V9" s="52">
        <v>15000</v>
      </c>
      <c r="W9" s="5">
        <f>IFERROR(OM.Table[[#This Row],[Base.Life.Hrs]]/OM.Table[[#This Row],[Annual.HOU]],"NA")</f>
        <v>3.6443148688046647</v>
      </c>
      <c r="X9" s="90" t="s">
        <v>16</v>
      </c>
      <c r="Y9" s="90" t="s">
        <v>16</v>
      </c>
      <c r="Z9" s="51" t="str">
        <f>IFERROR(OM.Table[[#This Row],[2nd.Base.Life.Hrs]]/OM.Table[[#This Row],[Annual.HOU]],"NA")</f>
        <v>NA</v>
      </c>
      <c r="AA9" s="13">
        <f>NPV(DiscountRate,OM.Table[[#This Row],[Eff.Annual.Cost.Y00.TOS]:[Eff.Annual.Cost.Y20.TOS]])</f>
        <v>0</v>
      </c>
      <c r="AB9"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32.502585374748477</v>
      </c>
      <c r="AC9" s="13">
        <f>NPV(DiscountRate,OM.Table[[#This Row],[Eff.Annual.Cost.Y00.ER]:[Eff.Annual.Cost.Y20.ER]])</f>
        <v>0</v>
      </c>
      <c r="AD9"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31.626912102541706</v>
      </c>
      <c r="AE9"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9"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9"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9"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9"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9"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9"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9"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9"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9"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9"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9"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9"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9"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9"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9"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9"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9"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9"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9"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9"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9"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9"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9"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3.8636974701503339</v>
      </c>
      <c r="BC9"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4.7499936640199456</v>
      </c>
      <c r="BD9"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4.7499936640199456</v>
      </c>
      <c r="BE9"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4.7499936640199456</v>
      </c>
      <c r="BF9"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4.7499936640199456</v>
      </c>
      <c r="BG9"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4.7499936640199456</v>
      </c>
      <c r="BH9"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4.7499936640199456</v>
      </c>
      <c r="BI9"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4.7499936640199456</v>
      </c>
      <c r="BJ9"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4.7499936640199456</v>
      </c>
      <c r="BK9"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4.7499936640199456</v>
      </c>
      <c r="BL9"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9"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9"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9"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9"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9"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9"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9"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9"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9"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9"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9"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9"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9"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9"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9"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9"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9"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9"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9"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9"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9"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9"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9"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9"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9"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9"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9"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9"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9"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9"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9"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9"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9"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9"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9"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9"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9"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9"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9"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9"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9"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9"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9"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9"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9"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9"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9"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9"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9"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9"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9"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9"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9"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2.8499961984119677</v>
      </c>
      <c r="DN9"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4.7499936640199456</v>
      </c>
      <c r="DO9"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4.7499936640199456</v>
      </c>
      <c r="DP9"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4.7499936640199456</v>
      </c>
      <c r="DQ9"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4.7499936640199456</v>
      </c>
      <c r="DR9"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4.7499936640199456</v>
      </c>
      <c r="DS9"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4.7499936640199456</v>
      </c>
      <c r="DT9"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4.7499936640199456</v>
      </c>
      <c r="DU9"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4.7499936640199456</v>
      </c>
      <c r="DV9"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4.7499936640199456</v>
      </c>
      <c r="DW9"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9"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9"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9"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9"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9"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9"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9"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9"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9"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9"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9"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9"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9"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9"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9"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9"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9"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9"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9"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9"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9"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9"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9"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9"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9"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9"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9"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9"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9"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9" s="95" t="s">
        <v>247</v>
      </c>
    </row>
    <row r="10" spans="1:157" customFormat="1" ht="15" x14ac:dyDescent="0.35">
      <c r="A10" t="s">
        <v>18</v>
      </c>
      <c r="B10" t="s">
        <v>55</v>
      </c>
      <c r="C10" t="s">
        <v>51</v>
      </c>
      <c r="D10" t="s">
        <v>56</v>
      </c>
      <c r="E10" t="s">
        <v>16</v>
      </c>
      <c r="F10" s="46">
        <v>3500</v>
      </c>
      <c r="G10" s="14">
        <f ca="1">OM.Table[[#This Row],[PV.Baseline.TOS]]-OM.Table[[#This Row],[PV.Efficient.TOS]]</f>
        <v>2.2305461785585408</v>
      </c>
      <c r="H10" s="14">
        <f ca="1">OM.Table[[#This Row],[PV.Baseline.ER]]-OM.Table[[#This Row],[PV.Efficient.ER]]</f>
        <v>3.00049884242372</v>
      </c>
      <c r="I10" s="47" t="s">
        <v>16</v>
      </c>
      <c r="J10" s="48" t="s">
        <v>16</v>
      </c>
      <c r="K10" s="49" t="str">
        <f>IFERROR(OM.Table[[#This Row],[Eff.Equip.Cost]]+OM.Table[[#This Row],[Eff.Labor.Cost]],"NA")</f>
        <v>NA</v>
      </c>
      <c r="L10" s="48">
        <v>1.1499999999999999</v>
      </c>
      <c r="M10" s="48">
        <v>2.35</v>
      </c>
      <c r="N10" s="49">
        <f>IFERROR(OM.Table[[#This Row],[Base.Equip.Cost]]+OM.Table[[#This Row],[Base.Labor.Cost]],"NA")</f>
        <v>3.5</v>
      </c>
      <c r="O10" s="87" t="s">
        <v>16</v>
      </c>
      <c r="P10" s="87" t="s">
        <v>16</v>
      </c>
      <c r="Q10" s="49" t="str">
        <f>IFERROR(OM.Table[[#This Row],[2nd.Base.Equip.Cost]]+OM.Table[[#This Row],[2nd.Base.Labor.Cost]],"NA")</f>
        <v>NA</v>
      </c>
      <c r="R10" s="50">
        <v>14</v>
      </c>
      <c r="S10" s="5">
        <f>OM.Table[[#This Row],[Measure.Life.Yrs]]/3</f>
        <v>4.666666666666667</v>
      </c>
      <c r="T10" s="7" t="s">
        <v>16</v>
      </c>
      <c r="U10" s="51" t="str">
        <f>IFERROR(OM.Table[[#This Row],[Eff.Life.Hrs]]/OM.Table[[#This Row],[Annual.HOU]],"NA")</f>
        <v>NA</v>
      </c>
      <c r="V10" s="52">
        <v>30000</v>
      </c>
      <c r="W10" s="5">
        <f>IFERROR(OM.Table[[#This Row],[Base.Life.Hrs]]/OM.Table[[#This Row],[Annual.HOU]],"NA")</f>
        <v>8.5714285714285712</v>
      </c>
      <c r="X10" s="90" t="s">
        <v>16</v>
      </c>
      <c r="Y10" s="90" t="s">
        <v>16</v>
      </c>
      <c r="Z10" s="51" t="str">
        <f>IFERROR(OM.Table[[#This Row],[2nd.Base.Life.Hrs]]/OM.Table[[#This Row],[Annual.HOU]],"NA")</f>
        <v>NA</v>
      </c>
      <c r="AA10" s="13">
        <f>NPV(DiscountRate,OM.Table[[#This Row],[Eff.Annual.Cost.Y00.TOS]:[Eff.Annual.Cost.Y20.TOS]])</f>
        <v>0</v>
      </c>
      <c r="AB10"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2.2305461785585408</v>
      </c>
      <c r="AC10" s="13">
        <f>NPV(DiscountRate,OM.Table[[#This Row],[Eff.Annual.Cost.Y00.ER]:[Eff.Annual.Cost.Y20.ER]])</f>
        <v>0</v>
      </c>
      <c r="AD10"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3.00049884242372</v>
      </c>
      <c r="AE10"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0"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0"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0"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0"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0"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0"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0"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0"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0"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0"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0"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0"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0"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0"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0"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0"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0"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0"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0"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0"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0"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10"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10"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0</v>
      </c>
      <c r="BC10"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10"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10"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0.3500000000000002</v>
      </c>
      <c r="BF10"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0.40833333333333333</v>
      </c>
      <c r="BG10"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0.40833333333333333</v>
      </c>
      <c r="BH10"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0.40833333333333333</v>
      </c>
      <c r="BI10"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0.40833333333333333</v>
      </c>
      <c r="BJ10"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0.40833333333333333</v>
      </c>
      <c r="BK10"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0.40833333333333333</v>
      </c>
      <c r="BL10"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0.40833333333333333</v>
      </c>
      <c r="BM10"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0.40833333333333333</v>
      </c>
      <c r="BN10"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0"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0"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0"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0"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0"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0"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0"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10"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10"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10"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10"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10"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10"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10"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10"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10"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10"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10"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10"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10"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10"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10"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10"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10"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10"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10"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10"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10"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0"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0"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0"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0"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0"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0"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0"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0"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0"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0"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0"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0"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0"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0"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0"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0"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0"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0"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0"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0"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0"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10"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10"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8.1666666666666554E-2</v>
      </c>
      <c r="DN10"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0.40833333333333333</v>
      </c>
      <c r="DO10"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0.40833333333333333</v>
      </c>
      <c r="DP10"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0.40833333333333333</v>
      </c>
      <c r="DQ10"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0.40833333333333333</v>
      </c>
      <c r="DR10"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0.40833333333333333</v>
      </c>
      <c r="DS10"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0.40833333333333333</v>
      </c>
      <c r="DT10"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0.40833333333333333</v>
      </c>
      <c r="DU10"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0.40833333333333333</v>
      </c>
      <c r="DV10"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0.40833333333333333</v>
      </c>
      <c r="DW10"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0.40833333333333333</v>
      </c>
      <c r="DX10"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0.40833333333333333</v>
      </c>
      <c r="DY10"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0"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0"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0"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0"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0"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0"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0"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10"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10"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10"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10"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10"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10"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10"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10"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10"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10"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10"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10"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10"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10"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10"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10"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10"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10"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10"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10"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10" s="95" t="s">
        <v>248</v>
      </c>
    </row>
    <row r="11" spans="1:157" customFormat="1" ht="15" x14ac:dyDescent="0.35">
      <c r="A11" t="s">
        <v>18</v>
      </c>
      <c r="B11" t="s">
        <v>107</v>
      </c>
      <c r="C11" t="s">
        <v>58</v>
      </c>
      <c r="D11" s="31" t="s">
        <v>19</v>
      </c>
      <c r="E11" t="s">
        <v>16</v>
      </c>
      <c r="F11" s="46">
        <v>3338</v>
      </c>
      <c r="G11" s="14">
        <f ca="1">OM.Table[[#This Row],[PV.Baseline.TOS]]-OM.Table[[#This Row],[PV.Efficient.TOS]]</f>
        <v>30.504546940932414</v>
      </c>
      <c r="H11" s="14">
        <f ca="1">OM.Table[[#This Row],[PV.Baseline.ER]]-OM.Table[[#This Row],[PV.Efficient.ER]]</f>
        <v>29.493694598016127</v>
      </c>
      <c r="I11" s="47" t="s">
        <v>16</v>
      </c>
      <c r="J11" s="48" t="s">
        <v>16</v>
      </c>
      <c r="K11" s="49" t="str">
        <f>IFERROR(OM.Table[[#This Row],[Eff.Equip.Cost]]+OM.Table[[#This Row],[Eff.Labor.Cost]],"NA")</f>
        <v>NA</v>
      </c>
      <c r="L11" s="48">
        <v>12</v>
      </c>
      <c r="M11" s="48">
        <f>(26.667/100)*MaintenanceWageRate</f>
        <v>5.3104725365158352</v>
      </c>
      <c r="N11" s="49">
        <f>IFERROR(OM.Table[[#This Row],[Base.Equip.Cost]]+OM.Table[[#This Row],[Base.Labor.Cost]],"NA")</f>
        <v>17.310472536515835</v>
      </c>
      <c r="O11" s="87" t="s">
        <v>16</v>
      </c>
      <c r="P11" s="87" t="s">
        <v>16</v>
      </c>
      <c r="Q11" s="49" t="str">
        <f>IFERROR(OM.Table[[#This Row],[2nd.Base.Equip.Cost]]+OM.Table[[#This Row],[2nd.Base.Labor.Cost]],"NA")</f>
        <v>NA</v>
      </c>
      <c r="R11" s="50">
        <v>15</v>
      </c>
      <c r="S11" s="5">
        <f>OM.Table[[#This Row],[Measure.Life.Yrs]]/3</f>
        <v>5</v>
      </c>
      <c r="T11" s="7" t="s">
        <v>16</v>
      </c>
      <c r="U11" s="51" t="str">
        <f>IFERROR(OM.Table[[#This Row],[Eff.Life.Hrs]]/OM.Table[[#This Row],[Annual.HOU]],"NA")</f>
        <v>NA</v>
      </c>
      <c r="V11" s="52">
        <v>15000</v>
      </c>
      <c r="W11" s="5">
        <f>IFERROR(OM.Table[[#This Row],[Base.Life.Hrs]]/OM.Table[[#This Row],[Annual.HOU]],"NA")</f>
        <v>4.4937088076692628</v>
      </c>
      <c r="X11" s="90" t="s">
        <v>16</v>
      </c>
      <c r="Y11" s="90" t="s">
        <v>16</v>
      </c>
      <c r="Z11" s="51" t="str">
        <f>IFERROR(OM.Table[[#This Row],[2nd.Base.Life.Hrs]]/OM.Table[[#This Row],[Annual.HOU]],"NA")</f>
        <v>NA</v>
      </c>
      <c r="AA11" s="13">
        <f>NPV(DiscountRate,OM.Table[[#This Row],[Eff.Annual.Cost.Y00.TOS]:[Eff.Annual.Cost.Y20.TOS]])</f>
        <v>0</v>
      </c>
      <c r="AB11"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30.504546940932414</v>
      </c>
      <c r="AC11" s="13">
        <f>NPV(DiscountRate,OM.Table[[#This Row],[Eff.Annual.Cost.Y00.ER]:[Eff.Annual.Cost.Y20.ER]])</f>
        <v>0</v>
      </c>
      <c r="AD11"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29.493694598016127</v>
      </c>
      <c r="AE11"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1"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1"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1"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1"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1"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1"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1"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1"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1"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1"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1"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1"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1"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1"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1"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1"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1"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1"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1"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1"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1"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11"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11"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1.1701879434684714</v>
      </c>
      <c r="BC11"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3.8521571551259908</v>
      </c>
      <c r="BD11"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3.8521571551259908</v>
      </c>
      <c r="BE11"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3.8521571551259908</v>
      </c>
      <c r="BF11"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3.8521571551259908</v>
      </c>
      <c r="BG11"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3.8521571551259908</v>
      </c>
      <c r="BH11"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3.8521571551259908</v>
      </c>
      <c r="BI11"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3.8521571551259908</v>
      </c>
      <c r="BJ11"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3.8521571551259908</v>
      </c>
      <c r="BK11"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3.8521571551259908</v>
      </c>
      <c r="BL11"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3.8521571551259908</v>
      </c>
      <c r="BM11"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3.8521571551259908</v>
      </c>
      <c r="BN11"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3.8521571551259908</v>
      </c>
      <c r="BO11"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1"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1"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1"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1"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1"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1"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11"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11"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11"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11"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11"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11"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11"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11"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11"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11"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11"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11"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11"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11"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11"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11"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11"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11"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11"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11"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11"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1"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1"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1"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1"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1"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1"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1"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1"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1"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1"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1"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1"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1"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1"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1"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1"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1"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1"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1"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1"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1"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11"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11"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11"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3.8521571551259908</v>
      </c>
      <c r="DO11"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3.8521571551259908</v>
      </c>
      <c r="DP11"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3.8521571551259908</v>
      </c>
      <c r="DQ11"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3.8521571551259908</v>
      </c>
      <c r="DR11"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3.8521571551259908</v>
      </c>
      <c r="DS11"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3.8521571551259908</v>
      </c>
      <c r="DT11"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3.8521571551259908</v>
      </c>
      <c r="DU11"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3.8521571551259908</v>
      </c>
      <c r="DV11"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3.8521571551259908</v>
      </c>
      <c r="DW11"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3.8521571551259908</v>
      </c>
      <c r="DX11"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3.8521571551259908</v>
      </c>
      <c r="DY11"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3.8521571551259908</v>
      </c>
      <c r="DZ11"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1"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1"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1"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1"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1"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1"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11"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11"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11"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11"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11"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11"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11"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11"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11"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11"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11"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11"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11"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11"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11"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11"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11"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11"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11"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11"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11" s="95" t="s">
        <v>247</v>
      </c>
    </row>
    <row r="12" spans="1:157" customFormat="1" ht="15" x14ac:dyDescent="0.35">
      <c r="A12" t="s">
        <v>18</v>
      </c>
      <c r="B12" t="s">
        <v>108</v>
      </c>
      <c r="C12" t="s">
        <v>57</v>
      </c>
      <c r="D12" s="31" t="s">
        <v>19</v>
      </c>
      <c r="E12" t="s">
        <v>16</v>
      </c>
      <c r="F12" s="46">
        <v>8760</v>
      </c>
      <c r="G12" s="14">
        <f ca="1">OM.Table[[#This Row],[PV.Baseline.TOS]]-OM.Table[[#This Row],[PV.Efficient.TOS]]</f>
        <v>55.459522205115398</v>
      </c>
      <c r="H12" s="14">
        <f ca="1">OM.Table[[#This Row],[PV.Baseline.ER]]-OM.Table[[#This Row],[PV.Efficient.ER]]</f>
        <v>50.209071396760848</v>
      </c>
      <c r="I12" s="47" t="s">
        <v>16</v>
      </c>
      <c r="J12" s="48" t="s">
        <v>16</v>
      </c>
      <c r="K12" s="49" t="str">
        <f>IFERROR(OM.Table[[#This Row],[Eff.Equip.Cost]]+OM.Table[[#This Row],[Eff.Labor.Cost]],"NA")</f>
        <v>NA</v>
      </c>
      <c r="L12" s="48">
        <v>12</v>
      </c>
      <c r="M12" s="48">
        <f>(26.667/100)*MaintenanceWageRate</f>
        <v>5.3104725365158352</v>
      </c>
      <c r="N12" s="49">
        <f>IFERROR(OM.Table[[#This Row],[Base.Equip.Cost]]+OM.Table[[#This Row],[Base.Labor.Cost]],"NA")</f>
        <v>17.310472536515835</v>
      </c>
      <c r="O12" s="87" t="s">
        <v>16</v>
      </c>
      <c r="P12" s="87" t="s">
        <v>16</v>
      </c>
      <c r="Q12" s="49" t="str">
        <f>IFERROR(OM.Table[[#This Row],[2nd.Base.Equip.Cost]]+OM.Table[[#This Row],[2nd.Base.Labor.Cost]],"NA")</f>
        <v>NA</v>
      </c>
      <c r="R12" s="50">
        <v>8</v>
      </c>
      <c r="S12" s="5">
        <f>OM.Table[[#This Row],[Measure.Life.Yrs]]/3</f>
        <v>2.6666666666666665</v>
      </c>
      <c r="T12" s="7" t="s">
        <v>16</v>
      </c>
      <c r="U12" s="51" t="str">
        <f>IFERROR(OM.Table[[#This Row],[Eff.Life.Hrs]]/OM.Table[[#This Row],[Annual.HOU]],"NA")</f>
        <v>NA</v>
      </c>
      <c r="V12" s="52">
        <v>15000</v>
      </c>
      <c r="W12" s="5">
        <f>IFERROR(OM.Table[[#This Row],[Base.Life.Hrs]]/OM.Table[[#This Row],[Annual.HOU]],"NA")</f>
        <v>1.7123287671232876</v>
      </c>
      <c r="X12" s="90" t="s">
        <v>16</v>
      </c>
      <c r="Y12" s="90" t="s">
        <v>16</v>
      </c>
      <c r="Z12" s="51" t="str">
        <f>IFERROR(OM.Table[[#This Row],[2nd.Base.Life.Hrs]]/OM.Table[[#This Row],[Annual.HOU]],"NA")</f>
        <v>NA</v>
      </c>
      <c r="AA12" s="13">
        <f>NPV(DiscountRate,OM.Table[[#This Row],[Eff.Annual.Cost.Y00.TOS]:[Eff.Annual.Cost.Y20.TOS]])</f>
        <v>0</v>
      </c>
      <c r="AB12"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55.459522205115398</v>
      </c>
      <c r="AC12" s="13">
        <f>NPV(DiscountRate,OM.Table[[#This Row],[Eff.Annual.Cost.Y00.ER]:[Eff.Annual.Cost.Y20.ER]])</f>
        <v>0</v>
      </c>
      <c r="AD12"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50.209071396760848</v>
      </c>
      <c r="AE12"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2"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2"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2"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2"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2"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2"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2"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2"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2"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2"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2"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2"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2"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2"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2"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2"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2"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2"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2"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2"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2"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12"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9.8323484007409956</v>
      </c>
      <c r="BB12"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10.109315961325247</v>
      </c>
      <c r="BC12"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10.109315961325247</v>
      </c>
      <c r="BD12"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10.109315961325247</v>
      </c>
      <c r="BE12"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10.109315961325247</v>
      </c>
      <c r="BF12"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10.109315961325247</v>
      </c>
      <c r="BG12"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10.109315961325247</v>
      </c>
      <c r="BH12"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2"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2"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2"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2"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2"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2"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2"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2"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2"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2"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2"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2"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2"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12"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12"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12"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12"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12"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12"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12"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12"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12"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12"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12"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12"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12"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12"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12"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12"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12"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12"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12"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12"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12"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2"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2"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2"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2"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2"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2"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2"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2"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2"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2"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2"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2"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2"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2"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2"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2"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2"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2"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2"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2"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2"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12"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4.0437263845301006</v>
      </c>
      <c r="DM12"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10.109315961325247</v>
      </c>
      <c r="DN12"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10.109315961325247</v>
      </c>
      <c r="DO12"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10.109315961325247</v>
      </c>
      <c r="DP12"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10.109315961325247</v>
      </c>
      <c r="DQ12"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10.109315961325247</v>
      </c>
      <c r="DR12"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10.109315961325247</v>
      </c>
      <c r="DS12"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2"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2"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2"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2"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2"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2"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2"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2"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2"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2"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2"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2"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2"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12"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12"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12"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12"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12"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12"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12"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12"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12"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12"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12"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12"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12"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12"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12"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12"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12"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12" s="99"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12"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12"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12" s="95" t="s">
        <v>247</v>
      </c>
    </row>
    <row r="13" spans="1:157" customFormat="1" ht="15" x14ac:dyDescent="0.35">
      <c r="A13" t="s">
        <v>18</v>
      </c>
      <c r="B13" t="s">
        <v>291</v>
      </c>
      <c r="C13" t="s">
        <v>59</v>
      </c>
      <c r="D13" t="s">
        <v>300</v>
      </c>
      <c r="E13" t="s">
        <v>60</v>
      </c>
      <c r="F13" s="46">
        <v>3500</v>
      </c>
      <c r="G13" s="14">
        <f ca="1">OM.Table[[#This Row],[PV.Baseline.TOS]]-OM.Table[[#This Row],[PV.Efficient.TOS]]</f>
        <v>18.771104273976153</v>
      </c>
      <c r="H13" s="14">
        <f ca="1">OM.Table[[#This Row],[PV.Baseline.ER]]-OM.Table[[#This Row],[PV.Efficient.ER]]</f>
        <v>12.583828291175376</v>
      </c>
      <c r="I13" s="47" t="s">
        <v>16</v>
      </c>
      <c r="J13" s="48" t="s">
        <v>16</v>
      </c>
      <c r="K13" s="49" t="str">
        <f>IFERROR(OM.Table[[#This Row],[Eff.Equip.Cost]]+OM.Table[[#This Row],[Eff.Labor.Cost]],"NA")</f>
        <v>NA</v>
      </c>
      <c r="L13" s="48">
        <v>1.7</v>
      </c>
      <c r="M13" s="48">
        <f t="shared" ref="M13:M22" si="123">5/100*MaintenanceWageRate</f>
        <v>0.99570115433229001</v>
      </c>
      <c r="N13" s="49">
        <f>IFERROR(OM.Table[[#This Row],[Base.Equip.Cost]]+OM.Table[[#This Row],[Base.Labor.Cost]],"NA")</f>
        <v>2.6957011543322897</v>
      </c>
      <c r="O13" s="48">
        <v>3.12</v>
      </c>
      <c r="P13" s="48">
        <f>5/100*MaintenanceWageRate</f>
        <v>0.99570115433229001</v>
      </c>
      <c r="Q13" s="49">
        <f>IFERROR(OM.Table[[#This Row],[2nd.Base.Equip.Cost]]+OM.Table[[#This Row],[2nd.Base.Labor.Cost]],"NA")</f>
        <v>4.1157011543322906</v>
      </c>
      <c r="R13" s="50">
        <v>4.3</v>
      </c>
      <c r="S13" s="5">
        <f>OM.Table[[#This Row],[Measure.Life.Yrs]]/3</f>
        <v>1.4333333333333333</v>
      </c>
      <c r="T13" s="7" t="s">
        <v>16</v>
      </c>
      <c r="U13" s="51" t="str">
        <f>IFERROR(OM.Table[[#This Row],[Eff.Life.Hrs]]/OM.Table[[#This Row],[Annual.HOU]],"NA")</f>
        <v>NA</v>
      </c>
      <c r="V13" s="52">
        <v>1000</v>
      </c>
      <c r="W13" s="5">
        <f>IFERROR(OM.Table[[#This Row],[Base.Life.Hrs]]/OM.Table[[#This Row],[Annual.HOU]],"NA")</f>
        <v>0.2857142857142857</v>
      </c>
      <c r="X13" s="91">
        <v>2020</v>
      </c>
      <c r="Y13" s="52">
        <v>10000</v>
      </c>
      <c r="Z13" s="51">
        <f>IFERROR(OM.Table[[#This Row],[2nd.Base.Life.Hrs]]/OM.Table[[#This Row],[Annual.HOU]],"NA")</f>
        <v>2.8571428571428572</v>
      </c>
      <c r="AA13" s="13">
        <f>NPV(DiscountRate,OM.Table[[#This Row],[Eff.Annual.Cost.Y00.TOS]:[Eff.Annual.Cost.Y20.TOS]])</f>
        <v>0</v>
      </c>
      <c r="AB13"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18.771104273976153</v>
      </c>
      <c r="AC13" s="13">
        <f>NPV(DiscountRate,OM.Table[[#This Row],[Eff.Annual.Cost.Y00.ER]:[Eff.Annual.Cost.Y20.ER]])</f>
        <v>0</v>
      </c>
      <c r="AD13"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12.583828291175376</v>
      </c>
      <c r="AE13"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3"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3"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3"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3"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3"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3"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3"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3"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3"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3"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3"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3"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3"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3"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3"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3"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3"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3"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3"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3"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3"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7.817533347563641</v>
      </c>
      <c r="BA13"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9.4349540401630154</v>
      </c>
      <c r="BB13"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9.4349540401630154</v>
      </c>
      <c r="BC13"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9.4349540401630154</v>
      </c>
      <c r="BD13"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2.8304862120489025</v>
      </c>
      <c r="BE13"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3"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3"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3"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3"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3"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3"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3"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3"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3"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3"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3"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3"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3"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3"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3"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3"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13"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0.41157011543322919</v>
      </c>
      <c r="BW13"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1.4404954040163016</v>
      </c>
      <c r="BX13"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1.4404954040163016</v>
      </c>
      <c r="BY13"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0.43214862120489023</v>
      </c>
      <c r="BZ13"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13"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13"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13"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13"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13"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13"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13"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13"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13"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13"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13"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13"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13"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13"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13"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13"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3"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3"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3"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3"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3"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3"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3"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3"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3"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3"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3"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3"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3"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3"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3"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3"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3"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3"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3"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3"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3"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1.3208935656228222</v>
      </c>
      <c r="DL13"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9.4349540401630154</v>
      </c>
      <c r="DM13"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9.4349540401630154</v>
      </c>
      <c r="DN13"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9.4349540401630154</v>
      </c>
      <c r="DO13"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2.8304862120489025</v>
      </c>
      <c r="DP13"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3"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3"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3"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3"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3"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3"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3"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3"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3"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3"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3"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3"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3"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3"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3"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3"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0.20166935656228224</v>
      </c>
      <c r="EG13"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1.4404954040163016</v>
      </c>
      <c r="EH13"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1.4404954040163016</v>
      </c>
      <c r="EI13"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1.4404954040163016</v>
      </c>
      <c r="EJ13"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0.43214862120489023</v>
      </c>
      <c r="EK13"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13"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13"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13"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13"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13"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13"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13"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13"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13"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13"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13"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13"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13" s="9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13"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13"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13" s="96" t="s">
        <v>378</v>
      </c>
    </row>
    <row r="14" spans="1:157" customFormat="1" ht="15" x14ac:dyDescent="0.35">
      <c r="A14" t="s">
        <v>18</v>
      </c>
      <c r="B14" t="s">
        <v>292</v>
      </c>
      <c r="C14" t="s">
        <v>59</v>
      </c>
      <c r="D14" t="s">
        <v>301</v>
      </c>
      <c r="E14" t="s">
        <v>20</v>
      </c>
      <c r="F14" s="46">
        <v>3500</v>
      </c>
      <c r="G14" s="14">
        <f ca="1">OM.Table[[#This Row],[PV.Baseline.TOS]]-OM.Table[[#This Row],[PV.Efficient.TOS]]</f>
        <v>24.709939742005293</v>
      </c>
      <c r="H14" s="14">
        <f ca="1">OM.Table[[#This Row],[PV.Baseline.ER]]-OM.Table[[#This Row],[PV.Efficient.ER]]</f>
        <v>18.430854235394992</v>
      </c>
      <c r="I14" s="47" t="s">
        <v>16</v>
      </c>
      <c r="J14" s="48" t="s">
        <v>16</v>
      </c>
      <c r="K14" s="49" t="str">
        <f>IFERROR(OM.Table[[#This Row],[Eff.Equip.Cost]]+OM.Table[[#This Row],[Eff.Labor.Cost]],"NA")</f>
        <v>NA</v>
      </c>
      <c r="L14" s="48">
        <v>1.74</v>
      </c>
      <c r="M14" s="48">
        <f t="shared" si="123"/>
        <v>0.99570115433229001</v>
      </c>
      <c r="N14" s="49">
        <f>IFERROR(OM.Table[[#This Row],[Base.Equip.Cost]]+OM.Table[[#This Row],[Base.Labor.Cost]],"NA")</f>
        <v>2.7357011543322898</v>
      </c>
      <c r="O14" s="48">
        <v>6.56</v>
      </c>
      <c r="P14" s="48">
        <f>5/100*MaintenanceWageRate</f>
        <v>0.99570115433229001</v>
      </c>
      <c r="Q14" s="49">
        <f>IFERROR(OM.Table[[#This Row],[2nd.Base.Equip.Cost]]+OM.Table[[#This Row],[2nd.Base.Labor.Cost]],"NA")</f>
        <v>7.5557011543322901</v>
      </c>
      <c r="R14" s="50">
        <v>4.3</v>
      </c>
      <c r="S14" s="5">
        <f>OM.Table[[#This Row],[Measure.Life.Yrs]]/3</f>
        <v>1.4333333333333333</v>
      </c>
      <c r="T14" s="7" t="s">
        <v>16</v>
      </c>
      <c r="U14" s="51" t="str">
        <f>IFERROR(OM.Table[[#This Row],[Eff.Life.Hrs]]/OM.Table[[#This Row],[Annual.HOU]],"NA")</f>
        <v>NA</v>
      </c>
      <c r="V14" s="52">
        <v>1000</v>
      </c>
      <c r="W14" s="5">
        <f>IFERROR(OM.Table[[#This Row],[Base.Life.Hrs]]/OM.Table[[#This Row],[Annual.HOU]],"NA")</f>
        <v>0.2857142857142857</v>
      </c>
      <c r="X14" s="91">
        <v>2020</v>
      </c>
      <c r="Y14" s="52">
        <v>6000</v>
      </c>
      <c r="Z14" s="51">
        <f>IFERROR(OM.Table[[#This Row],[2nd.Base.Life.Hrs]]/OM.Table[[#This Row],[Annual.HOU]],"NA")</f>
        <v>1.7142857142857142</v>
      </c>
      <c r="AA14" s="13">
        <f>NPV(DiscountRate,OM.Table[[#This Row],[Eff.Annual.Cost.Y00.TOS]:[Eff.Annual.Cost.Y20.TOS]])</f>
        <v>0</v>
      </c>
      <c r="AB14"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24.709939742005293</v>
      </c>
      <c r="AC14" s="13">
        <f>NPV(DiscountRate,OM.Table[[#This Row],[Eff.Annual.Cost.Y00.ER]:[Eff.Annual.Cost.Y20.ER]])</f>
        <v>0</v>
      </c>
      <c r="AD14"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18.430854235394992</v>
      </c>
      <c r="AE14"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4"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4"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4"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4"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4"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4"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4"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4"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4"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4"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4"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4"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4"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4"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4"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4"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4"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4"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4"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4"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4"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7.9335333475636407</v>
      </c>
      <c r="BA14"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9.5749540401630142</v>
      </c>
      <c r="BB14"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9.5749540401630142</v>
      </c>
      <c r="BC14"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9.5749540401630142</v>
      </c>
      <c r="BD14"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2.8724862120489028</v>
      </c>
      <c r="BE14"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4"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4"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4"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4"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4"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4"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4"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4"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4"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4"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4"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4"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4"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4"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4"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4"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14"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4.2815639874549651</v>
      </c>
      <c r="BW14"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4.4074923400271695</v>
      </c>
      <c r="BX14"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4.4074923400271695</v>
      </c>
      <c r="BY14"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1.32224770200815</v>
      </c>
      <c r="BZ14"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14"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14"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14"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14"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14"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14"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14"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14"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14"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14"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14"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14"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14"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14"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14"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14"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4"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4"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4"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4"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4"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4"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4"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4"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4"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4"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4"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4"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4"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4"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4"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4"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4"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4"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4"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4"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4"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1.3404935656228223</v>
      </c>
      <c r="DL14"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9.5749540401630142</v>
      </c>
      <c r="DM14"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9.5749540401630142</v>
      </c>
      <c r="DN14"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9.5749540401630142</v>
      </c>
      <c r="DO14"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2.8724862120489028</v>
      </c>
      <c r="DP14"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4"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4"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4"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4"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4"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4"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4"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4"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4"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4"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4"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4"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4"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4"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4"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4"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0.6170489276038037</v>
      </c>
      <c r="EG14"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4.4074923400271695</v>
      </c>
      <c r="EH14"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4.4074923400271695</v>
      </c>
      <c r="EI14"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4.4074923400271695</v>
      </c>
      <c r="EJ14"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1.32224770200815</v>
      </c>
      <c r="EK14"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14"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14"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14"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14"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14"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14"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14"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14"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14"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14"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14"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14"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14" s="9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14"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14"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14" s="96" t="s">
        <v>379</v>
      </c>
    </row>
    <row r="15" spans="1:157" customFormat="1" ht="15" x14ac:dyDescent="0.35">
      <c r="A15" t="s">
        <v>18</v>
      </c>
      <c r="B15" t="s">
        <v>293</v>
      </c>
      <c r="C15" t="s">
        <v>59</v>
      </c>
      <c r="D15" t="s">
        <v>302</v>
      </c>
      <c r="E15" t="s">
        <v>61</v>
      </c>
      <c r="F15" s="46">
        <v>3500</v>
      </c>
      <c r="G15" s="14">
        <f ca="1">OM.Table[[#This Row],[PV.Baseline.TOS]]-OM.Table[[#This Row],[PV.Efficient.TOS]]</f>
        <v>36.314631199485589</v>
      </c>
      <c r="H15" s="14">
        <f ca="1">OM.Table[[#This Row],[PV.Baseline.ER]]-OM.Table[[#This Row],[PV.Efficient.ER]]</f>
        <v>24.2285933119229</v>
      </c>
      <c r="I15" s="47" t="s">
        <v>16</v>
      </c>
      <c r="J15" s="48" t="s">
        <v>16</v>
      </c>
      <c r="K15" s="49" t="str">
        <f>IFERROR(OM.Table[[#This Row],[Eff.Equip.Cost]]+OM.Table[[#This Row],[Eff.Labor.Cost]],"NA")</f>
        <v>NA</v>
      </c>
      <c r="L15" s="48">
        <v>4.2699999999999996</v>
      </c>
      <c r="M15" s="48">
        <f t="shared" si="123"/>
        <v>0.99570115433229001</v>
      </c>
      <c r="N15" s="49">
        <f>IFERROR(OM.Table[[#This Row],[Base.Equip.Cost]]+OM.Table[[#This Row],[Base.Labor.Cost]],"NA")</f>
        <v>5.2657011543322891</v>
      </c>
      <c r="O15" s="48">
        <v>6.52</v>
      </c>
      <c r="P15" s="48">
        <f>5/100*MaintenanceWageRate</f>
        <v>0.99570115433229001</v>
      </c>
      <c r="Q15" s="49">
        <f>IFERROR(OM.Table[[#This Row],[2nd.Base.Equip.Cost]]+OM.Table[[#This Row],[2nd.Base.Labor.Cost]],"NA")</f>
        <v>7.5157011543322891</v>
      </c>
      <c r="R15" s="50">
        <v>4.3</v>
      </c>
      <c r="S15" s="5">
        <f>OM.Table[[#This Row],[Measure.Life.Yrs]]/3</f>
        <v>1.4333333333333333</v>
      </c>
      <c r="T15" s="7" t="s">
        <v>16</v>
      </c>
      <c r="U15" s="51" t="str">
        <f>IFERROR(OM.Table[[#This Row],[Eff.Life.Hrs]]/OM.Table[[#This Row],[Annual.HOU]],"NA")</f>
        <v>NA</v>
      </c>
      <c r="V15" s="52">
        <v>1000</v>
      </c>
      <c r="W15" s="5">
        <f>IFERROR(OM.Table[[#This Row],[Base.Life.Hrs]]/OM.Table[[#This Row],[Annual.HOU]],"NA")</f>
        <v>0.2857142857142857</v>
      </c>
      <c r="X15" s="91">
        <v>2020</v>
      </c>
      <c r="Y15" s="52">
        <v>10000</v>
      </c>
      <c r="Z15" s="51">
        <f>IFERROR(OM.Table[[#This Row],[2nd.Base.Life.Hrs]]/OM.Table[[#This Row],[Annual.HOU]],"NA")</f>
        <v>2.8571428571428572</v>
      </c>
      <c r="AA15" s="13">
        <f>NPV(DiscountRate,OM.Table[[#This Row],[Eff.Annual.Cost.Y00.TOS]:[Eff.Annual.Cost.Y20.TOS]])</f>
        <v>0</v>
      </c>
      <c r="AB15"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36.314631199485589</v>
      </c>
      <c r="AC15" s="13">
        <f>NPV(DiscountRate,OM.Table[[#This Row],[Eff.Annual.Cost.Y00.ER]:[Eff.Annual.Cost.Y20.ER]])</f>
        <v>0</v>
      </c>
      <c r="AD15"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24.2285933119229</v>
      </c>
      <c r="AE15"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5"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5"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5"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5"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5"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5"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5"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5"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5"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5"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5"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5"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5"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5"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5"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5"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5"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5"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5"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5"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5"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15.27053334756364</v>
      </c>
      <c r="BA15"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18.429954040163015</v>
      </c>
      <c r="BB15"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18.429954040163015</v>
      </c>
      <c r="BC15"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18.429954040163015</v>
      </c>
      <c r="BD15"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5.5289862120489008</v>
      </c>
      <c r="BE15"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5"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5"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5"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5"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5"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5"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5"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5"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5"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5"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5"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5"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5"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5"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5"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5"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15"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0.75157011543322916</v>
      </c>
      <c r="BW15"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2.6304954040163011</v>
      </c>
      <c r="BX15"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2.6304954040163011</v>
      </c>
      <c r="BY15"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0.78914862120488993</v>
      </c>
      <c r="BZ15"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15"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15"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15"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15"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15"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15"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15"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15"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15"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15"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15"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15"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15"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15"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15"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15"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5"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5"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5"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5"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5"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5"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5"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5"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5"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5"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5"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5"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5"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5"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5"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5"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5"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5"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5"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5"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5"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2.5801935656228219</v>
      </c>
      <c r="DL15"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18.429954040163015</v>
      </c>
      <c r="DM15"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18.429954040163015</v>
      </c>
      <c r="DN15"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18.429954040163015</v>
      </c>
      <c r="DO15"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5.5289862120489008</v>
      </c>
      <c r="DP15"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5"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5"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5"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5"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5"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5"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5"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5"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5"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5"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5"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5"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5"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5"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5"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5"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0.36826935656228221</v>
      </c>
      <c r="EG15"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2.6304954040163011</v>
      </c>
      <c r="EH15"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2.6304954040163011</v>
      </c>
      <c r="EI15"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2.6304954040163011</v>
      </c>
      <c r="EJ15"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0.78914862120488993</v>
      </c>
      <c r="EK15"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15"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15"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15"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15"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15"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15"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15"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15"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15"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15"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15"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15"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15" s="9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15"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15"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15" s="96" t="s">
        <v>380</v>
      </c>
    </row>
    <row r="16" spans="1:157" customFormat="1" ht="15" x14ac:dyDescent="0.35">
      <c r="A16" t="s">
        <v>18</v>
      </c>
      <c r="B16" t="s">
        <v>294</v>
      </c>
      <c r="C16" t="s">
        <v>59</v>
      </c>
      <c r="D16" t="s">
        <v>303</v>
      </c>
      <c r="E16" t="s">
        <v>62</v>
      </c>
      <c r="F16" s="46">
        <v>3500</v>
      </c>
      <c r="G16" s="14">
        <f ca="1">OM.Table[[#This Row],[PV.Baseline.TOS]]-OM.Table[[#This Row],[PV.Efficient.TOS]]</f>
        <v>23.36983680135814</v>
      </c>
      <c r="H16" s="14">
        <f ca="1">OM.Table[[#This Row],[PV.Baseline.ER]]-OM.Table[[#This Row],[PV.Efficient.ER]]</f>
        <v>17.366179866176406</v>
      </c>
      <c r="I16" s="47" t="s">
        <v>16</v>
      </c>
      <c r="J16" s="48" t="s">
        <v>16</v>
      </c>
      <c r="K16" s="49" t="str">
        <f>IFERROR(OM.Table[[#This Row],[Eff.Equip.Cost]]+OM.Table[[#This Row],[Eff.Labor.Cost]],"NA")</f>
        <v>NA</v>
      </c>
      <c r="L16" s="48">
        <v>1.62</v>
      </c>
      <c r="M16" s="48">
        <f t="shared" si="123"/>
        <v>0.99570115433229001</v>
      </c>
      <c r="N16" s="49">
        <f>IFERROR(OM.Table[[#This Row],[Base.Equip.Cost]]+OM.Table[[#This Row],[Base.Labor.Cost]],"NA")</f>
        <v>2.6157011543322901</v>
      </c>
      <c r="O16" s="48">
        <v>6</v>
      </c>
      <c r="P16" s="48">
        <f>5/100*MaintenanceWageRate</f>
        <v>0.99570115433229001</v>
      </c>
      <c r="Q16" s="49">
        <f>IFERROR(OM.Table[[#This Row],[2nd.Base.Equip.Cost]]+OM.Table[[#This Row],[2nd.Base.Labor.Cost]],"NA")</f>
        <v>6.9957011543322896</v>
      </c>
      <c r="R16" s="50">
        <v>4.3</v>
      </c>
      <c r="S16" s="5">
        <f>OM.Table[[#This Row],[Measure.Life.Yrs]]/3</f>
        <v>1.4333333333333333</v>
      </c>
      <c r="T16" s="7" t="s">
        <v>16</v>
      </c>
      <c r="U16" s="51" t="str">
        <f>IFERROR(OM.Table[[#This Row],[Eff.Life.Hrs]]/OM.Table[[#This Row],[Annual.HOU]],"NA")</f>
        <v>NA</v>
      </c>
      <c r="V16" s="52">
        <v>1000</v>
      </c>
      <c r="W16" s="5">
        <f>IFERROR(OM.Table[[#This Row],[Base.Life.Hrs]]/OM.Table[[#This Row],[Annual.HOU]],"NA")</f>
        <v>0.2857142857142857</v>
      </c>
      <c r="X16" s="91">
        <v>2020</v>
      </c>
      <c r="Y16" s="52">
        <v>6000</v>
      </c>
      <c r="Z16" s="51">
        <f>IFERROR(OM.Table[[#This Row],[2nd.Base.Life.Hrs]]/OM.Table[[#This Row],[Annual.HOU]],"NA")</f>
        <v>1.7142857142857142</v>
      </c>
      <c r="AA16" s="13">
        <f>NPV(DiscountRate,OM.Table[[#This Row],[Eff.Annual.Cost.Y00.TOS]:[Eff.Annual.Cost.Y20.TOS]])</f>
        <v>0</v>
      </c>
      <c r="AB16"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23.36983680135814</v>
      </c>
      <c r="AC16" s="13">
        <f>NPV(DiscountRate,OM.Table[[#This Row],[Eff.Annual.Cost.Y00.ER]:[Eff.Annual.Cost.Y20.ER]])</f>
        <v>0</v>
      </c>
      <c r="AD16"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17.366179866176406</v>
      </c>
      <c r="AE16"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6"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6"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6"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6"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6"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6"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6"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6"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6"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6"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6"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6"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6"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6"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6"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6"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6"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6"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6"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6"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6"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7.5855333475636417</v>
      </c>
      <c r="BA16"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9.1549540401630161</v>
      </c>
      <c r="BB16"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9.1549540401630161</v>
      </c>
      <c r="BC16"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9.1549540401630161</v>
      </c>
      <c r="BD16"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2.7464862120489033</v>
      </c>
      <c r="BE16"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6"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6"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6"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6"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6"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6"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6"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6"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6"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6"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6"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6"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6"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6"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6"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6"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16"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3.9642306541216312</v>
      </c>
      <c r="BW16"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4.0808256733605024</v>
      </c>
      <c r="BX16"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4.0808256733605024</v>
      </c>
      <c r="BY16"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1.2242477020081499</v>
      </c>
      <c r="BZ16"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16"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16"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16"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16"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16"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16"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16"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16"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16"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16"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16"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16"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16"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16"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16"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16"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6"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6"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6"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6"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6"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6"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6"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6"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6"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6"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6"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6"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6"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6"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6"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6"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6"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6"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6"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6"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6"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1.2816935656228223</v>
      </c>
      <c r="DL16"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9.1549540401630161</v>
      </c>
      <c r="DM16"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9.1549540401630161</v>
      </c>
      <c r="DN16"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9.1549540401630161</v>
      </c>
      <c r="DO16"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2.7464862120489033</v>
      </c>
      <c r="DP16"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6"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6"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6"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6"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6"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6"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6"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6"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6"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6"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6"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6"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6"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6"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6"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6"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0.57131559427047041</v>
      </c>
      <c r="EG16"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4.0808256733605024</v>
      </c>
      <c r="EH16"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4.0808256733605024</v>
      </c>
      <c r="EI16"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4.0808256733605024</v>
      </c>
      <c r="EJ16"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1.2242477020081499</v>
      </c>
      <c r="EK16"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16"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16"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16"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16"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16"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16"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16"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16"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16"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16"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16"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16"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16" s="9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16"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16"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16" s="96" t="s">
        <v>379</v>
      </c>
    </row>
    <row r="17" spans="1:157" customFormat="1" ht="15" x14ac:dyDescent="0.35">
      <c r="A17" t="s">
        <v>18</v>
      </c>
      <c r="B17" t="s">
        <v>295</v>
      </c>
      <c r="C17" t="s">
        <v>59</v>
      </c>
      <c r="D17" t="s">
        <v>304</v>
      </c>
      <c r="E17" t="s">
        <v>63</v>
      </c>
      <c r="F17" s="46">
        <v>3500</v>
      </c>
      <c r="G17" s="14">
        <f ca="1">OM.Table[[#This Row],[PV.Baseline.TOS]]-OM.Table[[#This Row],[PV.Efficient.TOS]]</f>
        <v>19.623567294311179</v>
      </c>
      <c r="H17" s="14">
        <f ca="1">OM.Table[[#This Row],[PV.Baseline.ER]]-OM.Table[[#This Row],[PV.Efficient.ER]]</f>
        <v>14.721624644843734</v>
      </c>
      <c r="I17" s="47" t="s">
        <v>16</v>
      </c>
      <c r="J17" s="48" t="s">
        <v>16</v>
      </c>
      <c r="K17" s="49" t="str">
        <f>IFERROR(OM.Table[[#This Row],[Eff.Equip.Cost]]+OM.Table[[#This Row],[Eff.Labor.Cost]],"NA")</f>
        <v>NA</v>
      </c>
      <c r="L17" s="48">
        <v>1.1399999999999999</v>
      </c>
      <c r="M17" s="48">
        <f t="shared" si="123"/>
        <v>0.99570115433229001</v>
      </c>
      <c r="N17" s="49">
        <f>IFERROR(OM.Table[[#This Row],[Base.Equip.Cost]]+OM.Table[[#This Row],[Base.Labor.Cost]],"NA")</f>
        <v>2.1357011543322901</v>
      </c>
      <c r="O17" s="48">
        <v>5.2</v>
      </c>
      <c r="P17" s="48">
        <f>5/100*MaintenanceWageRate</f>
        <v>0.99570115433229001</v>
      </c>
      <c r="Q17" s="49">
        <f>IFERROR(OM.Table[[#This Row],[2nd.Base.Equip.Cost]]+OM.Table[[#This Row],[2nd.Base.Labor.Cost]],"NA")</f>
        <v>6.1957011543322906</v>
      </c>
      <c r="R17" s="50">
        <v>4.3</v>
      </c>
      <c r="S17" s="5">
        <f>OM.Table[[#This Row],[Measure.Life.Yrs]]/3</f>
        <v>1.4333333333333333</v>
      </c>
      <c r="T17" s="7" t="s">
        <v>16</v>
      </c>
      <c r="U17" s="51" t="str">
        <f>IFERROR(OM.Table[[#This Row],[Eff.Life.Hrs]]/OM.Table[[#This Row],[Annual.HOU]],"NA")</f>
        <v>NA</v>
      </c>
      <c r="V17" s="52">
        <v>1000</v>
      </c>
      <c r="W17" s="5">
        <f>IFERROR(OM.Table[[#This Row],[Base.Life.Hrs]]/OM.Table[[#This Row],[Annual.HOU]],"NA")</f>
        <v>0.2857142857142857</v>
      </c>
      <c r="X17" s="91">
        <v>2020</v>
      </c>
      <c r="Y17" s="52">
        <v>6000</v>
      </c>
      <c r="Z17" s="51">
        <f>IFERROR(OM.Table[[#This Row],[2nd.Base.Life.Hrs]]/OM.Table[[#This Row],[Annual.HOU]],"NA")</f>
        <v>1.7142857142857142</v>
      </c>
      <c r="AA17" s="13">
        <f>NPV(DiscountRate,OM.Table[[#This Row],[Eff.Annual.Cost.Y00.TOS]:[Eff.Annual.Cost.Y20.TOS]])</f>
        <v>0</v>
      </c>
      <c r="AB17"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19.623567294311179</v>
      </c>
      <c r="AC17" s="13">
        <f>NPV(DiscountRate,OM.Table[[#This Row],[Eff.Annual.Cost.Y00.ER]:[Eff.Annual.Cost.Y20.ER]])</f>
        <v>0</v>
      </c>
      <c r="AD17"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14.721624644843734</v>
      </c>
      <c r="AE17"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7"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7"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7"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7"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7"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7"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7"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7"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7"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7"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7"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7"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7"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7"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7"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7"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7"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7"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7"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7"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7"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6.1935333475636423</v>
      </c>
      <c r="BA17"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7.4749540401630155</v>
      </c>
      <c r="BB17"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7.4749540401630155</v>
      </c>
      <c r="BC17"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7.4749540401630155</v>
      </c>
      <c r="BD17"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2.2424862120489037</v>
      </c>
      <c r="BE17"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7"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7"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7"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7"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7"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7"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7"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7"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7"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7"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7"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7"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7"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7"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7"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7"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17"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3.5108973207882985</v>
      </c>
      <c r="BW17"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3.6141590066938365</v>
      </c>
      <c r="BX17"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3.6141590066938365</v>
      </c>
      <c r="BY17"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1.0842477020081502</v>
      </c>
      <c r="BZ17"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17"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17"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17"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17"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17"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17"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17"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17"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17"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17"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17"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17"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17"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17"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17"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17"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7"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7"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7"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7"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7"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7"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7"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7"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7"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7"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7"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7"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7"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7"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7"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7"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7"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7"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7"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7"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7"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1.0464935656228223</v>
      </c>
      <c r="DL17"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7.4749540401630155</v>
      </c>
      <c r="DM17"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7.4749540401630155</v>
      </c>
      <c r="DN17"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7.4749540401630155</v>
      </c>
      <c r="DO17"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2.2424862120489037</v>
      </c>
      <c r="DP17"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7"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7"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7"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7"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7"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7"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7"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7"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7"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7"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7"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7"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7"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7"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7"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7"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0.50598226093713716</v>
      </c>
      <c r="EG17"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3.6141590066938365</v>
      </c>
      <c r="EH17"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3.6141590066938365</v>
      </c>
      <c r="EI17"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3.6141590066938365</v>
      </c>
      <c r="EJ17"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1.0842477020081502</v>
      </c>
      <c r="EK17"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17"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17"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17"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17"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17"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17"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17"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17"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17"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17"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17"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17"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17" s="9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17"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17"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17" s="96" t="s">
        <v>379</v>
      </c>
    </row>
    <row r="18" spans="1:157" customFormat="1" ht="15" x14ac:dyDescent="0.35">
      <c r="A18" t="s">
        <v>18</v>
      </c>
      <c r="B18" t="s">
        <v>286</v>
      </c>
      <c r="C18" t="s">
        <v>59</v>
      </c>
      <c r="D18" t="s">
        <v>60</v>
      </c>
      <c r="E18" t="s">
        <v>16</v>
      </c>
      <c r="F18" s="46">
        <v>3500</v>
      </c>
      <c r="G18" s="14">
        <f ca="1">OM.Table[[#This Row],[PV.Baseline.TOS]]-OM.Table[[#This Row],[PV.Efficient.TOS]]</f>
        <v>3.1413592039792322</v>
      </c>
      <c r="H18" s="14">
        <f ca="1">OM.Table[[#This Row],[PV.Baseline.ER]]-OM.Table[[#This Row],[PV.Efficient.ER]]</f>
        <v>4.2666908257238747</v>
      </c>
      <c r="I18" s="47" t="s">
        <v>16</v>
      </c>
      <c r="J18" s="48" t="s">
        <v>16</v>
      </c>
      <c r="K18" s="49" t="str">
        <f>IFERROR(OM.Table[[#This Row],[Eff.Equip.Cost]]+OM.Table[[#This Row],[Eff.Labor.Cost]],"NA")</f>
        <v>NA</v>
      </c>
      <c r="L18" s="48">
        <v>3.12</v>
      </c>
      <c r="M18" s="48">
        <f t="shared" si="123"/>
        <v>0.99570115433229001</v>
      </c>
      <c r="N18" s="49">
        <f>IFERROR(OM.Table[[#This Row],[Base.Equip.Cost]]+OM.Table[[#This Row],[Base.Labor.Cost]],"NA")</f>
        <v>4.1157011543322906</v>
      </c>
      <c r="O18" s="87" t="s">
        <v>16</v>
      </c>
      <c r="P18" s="87" t="s">
        <v>16</v>
      </c>
      <c r="Q18" s="49" t="str">
        <f>IFERROR(OM.Table[[#This Row],[2nd.Base.Equip.Cost]]+OM.Table[[#This Row],[2nd.Base.Labor.Cost]],"NA")</f>
        <v>NA</v>
      </c>
      <c r="R18" s="50">
        <v>4.3</v>
      </c>
      <c r="S18" s="5">
        <f>OM.Table[[#This Row],[Measure.Life.Yrs]]/3</f>
        <v>1.4333333333333333</v>
      </c>
      <c r="T18" s="7" t="s">
        <v>16</v>
      </c>
      <c r="U18" s="51" t="str">
        <f>IFERROR(OM.Table[[#This Row],[Eff.Life.Hrs]]/OM.Table[[#This Row],[Annual.HOU]],"NA")</f>
        <v>NA</v>
      </c>
      <c r="V18" s="52">
        <v>10000</v>
      </c>
      <c r="W18" s="5">
        <f>IFERROR(OM.Table[[#This Row],[Base.Life.Hrs]]/OM.Table[[#This Row],[Annual.HOU]],"NA")</f>
        <v>2.8571428571428572</v>
      </c>
      <c r="X18" s="90" t="s">
        <v>16</v>
      </c>
      <c r="Y18" s="90" t="s">
        <v>16</v>
      </c>
      <c r="Z18" s="51" t="str">
        <f>IFERROR(OM.Table[[#This Row],[2nd.Base.Life.Hrs]]/OM.Table[[#This Row],[Annual.HOU]],"NA")</f>
        <v>NA</v>
      </c>
      <c r="AA18" s="13">
        <f>NPV(DiscountRate,OM.Table[[#This Row],[Eff.Annual.Cost.Y00.TOS]:[Eff.Annual.Cost.Y20.TOS]])</f>
        <v>0</v>
      </c>
      <c r="AB18"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3.1413592039792322</v>
      </c>
      <c r="AC18" s="13">
        <f>NPV(DiscountRate,OM.Table[[#This Row],[Eff.Annual.Cost.Y00.ER]:[Eff.Annual.Cost.Y20.ER]])</f>
        <v>0</v>
      </c>
      <c r="AD18"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4.2666908257238747</v>
      </c>
      <c r="AE18"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8"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8"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8"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8"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8"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8"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8"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8"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8"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8"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8"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8"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8"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8"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8"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8"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8"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8"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8"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8"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8"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18"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0.41157011543322919</v>
      </c>
      <c r="BB18"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1.4404954040163016</v>
      </c>
      <c r="BC18"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1.4404954040163016</v>
      </c>
      <c r="BD18"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0.43214862120489023</v>
      </c>
      <c r="BE18"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8"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8"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8"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8"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8"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8"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8"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8"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8"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8"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8"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8"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8"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8"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8"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8"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18"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18"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18"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18"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18"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18"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18"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18"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18"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18"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18"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18"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18"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18"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18"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18"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18"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18"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18"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18"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18"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8"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8"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8"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8"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8"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8"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8"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8"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8"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8"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8"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8"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8"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8"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8"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8"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8"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8"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8"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8"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8"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0.20166935656228224</v>
      </c>
      <c r="DL18"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1.4404954040163016</v>
      </c>
      <c r="DM18"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1.4404954040163016</v>
      </c>
      <c r="DN18"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1.4404954040163016</v>
      </c>
      <c r="DO18"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0.43214862120489023</v>
      </c>
      <c r="DP18"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8"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8"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8"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8"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8"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8"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8"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8"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8"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8"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8"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8"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8"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8"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8"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8"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18"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18"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18"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18"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18"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18"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18"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18"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18"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18"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18"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18"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18"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18"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18"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18"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18"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18"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18"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18"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18" s="96" t="s">
        <v>380</v>
      </c>
    </row>
    <row r="19" spans="1:157" customFormat="1" ht="15" x14ac:dyDescent="0.35">
      <c r="A19" t="s">
        <v>18</v>
      </c>
      <c r="B19" t="s">
        <v>287</v>
      </c>
      <c r="C19" t="s">
        <v>59</v>
      </c>
      <c r="D19" t="s">
        <v>20</v>
      </c>
      <c r="E19" t="s">
        <v>16</v>
      </c>
      <c r="F19" s="46">
        <v>3500</v>
      </c>
      <c r="G19" s="14">
        <f ca="1">OM.Table[[#This Row],[PV.Baseline.TOS]]-OM.Table[[#This Row],[PV.Efficient.TOS]]</f>
        <v>12.352932877923781</v>
      </c>
      <c r="H19" s="14">
        <f ca="1">OM.Table[[#This Row],[PV.Baseline.ER]]-OM.Table[[#This Row],[PV.Efficient.ER]]</f>
        <v>13.054819251217385</v>
      </c>
      <c r="I19" s="47" t="s">
        <v>16</v>
      </c>
      <c r="J19" s="48" t="s">
        <v>16</v>
      </c>
      <c r="K19" s="49" t="str">
        <f>IFERROR(OM.Table[[#This Row],[Eff.Equip.Cost]]+OM.Table[[#This Row],[Eff.Labor.Cost]],"NA")</f>
        <v>NA</v>
      </c>
      <c r="L19" s="48">
        <v>6.56</v>
      </c>
      <c r="M19" s="48">
        <f t="shared" si="123"/>
        <v>0.99570115433229001</v>
      </c>
      <c r="N19" s="49">
        <f>IFERROR(OM.Table[[#This Row],[Base.Equip.Cost]]+OM.Table[[#This Row],[Base.Labor.Cost]],"NA")</f>
        <v>7.5557011543322901</v>
      </c>
      <c r="O19" s="87" t="s">
        <v>16</v>
      </c>
      <c r="P19" s="87" t="s">
        <v>16</v>
      </c>
      <c r="Q19" s="49" t="str">
        <f>IFERROR(OM.Table[[#This Row],[2nd.Base.Equip.Cost]]+OM.Table[[#This Row],[2nd.Base.Labor.Cost]],"NA")</f>
        <v>NA</v>
      </c>
      <c r="R19" s="50">
        <v>4.3</v>
      </c>
      <c r="S19" s="5">
        <f>OM.Table[[#This Row],[Measure.Life.Yrs]]/3</f>
        <v>1.4333333333333333</v>
      </c>
      <c r="T19" s="7" t="s">
        <v>16</v>
      </c>
      <c r="U19" s="51" t="str">
        <f>IFERROR(OM.Table[[#This Row],[Eff.Life.Hrs]]/OM.Table[[#This Row],[Annual.HOU]],"NA")</f>
        <v>NA</v>
      </c>
      <c r="V19" s="52">
        <v>6000</v>
      </c>
      <c r="W19" s="5">
        <f>IFERROR(OM.Table[[#This Row],[Base.Life.Hrs]]/OM.Table[[#This Row],[Annual.HOU]],"NA")</f>
        <v>1.7142857142857142</v>
      </c>
      <c r="X19" s="90" t="s">
        <v>16</v>
      </c>
      <c r="Y19" s="90" t="s">
        <v>16</v>
      </c>
      <c r="Z19" s="51" t="str">
        <f>IFERROR(OM.Table[[#This Row],[2nd.Base.Life.Hrs]]/OM.Table[[#This Row],[Annual.HOU]],"NA")</f>
        <v>NA</v>
      </c>
      <c r="AA19" s="13">
        <f>NPV(DiscountRate,OM.Table[[#This Row],[Eff.Annual.Cost.Y00.TOS]:[Eff.Annual.Cost.Y20.TOS]])</f>
        <v>0</v>
      </c>
      <c r="AB19"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12.352932877923781</v>
      </c>
      <c r="AC19" s="13">
        <f>NPV(DiscountRate,OM.Table[[#This Row],[Eff.Annual.Cost.Y00.ER]:[Eff.Annual.Cost.Y20.ER]])</f>
        <v>0</v>
      </c>
      <c r="AD19"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13.054819251217385</v>
      </c>
      <c r="AE19"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19"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19"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19"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19"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19"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19"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19"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19"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19"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19"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19"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19"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19"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19"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19"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19"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19"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19"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19"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19"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19"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19"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4.2815639874549651</v>
      </c>
      <c r="BB19"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4.4074923400271695</v>
      </c>
      <c r="BC19"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4.4074923400271695</v>
      </c>
      <c r="BD19"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1.32224770200815</v>
      </c>
      <c r="BE19"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19"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19"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19"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19"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19"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19"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19"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19"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19"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19"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19"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19"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19"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19"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19"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19"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19"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19"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19"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19"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19"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19"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19"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19"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19"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19"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19"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19"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19"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19"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19"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19"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19"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19"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19"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19"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19"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19"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19"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19"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19"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19"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19"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19"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19"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19"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19"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19"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19"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19"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19"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19"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19"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19"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19"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19"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19"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19"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0.6170489276038037</v>
      </c>
      <c r="DL19"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4.4074923400271695</v>
      </c>
      <c r="DM19"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4.4074923400271695</v>
      </c>
      <c r="DN19"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4.4074923400271695</v>
      </c>
      <c r="DO19"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1.32224770200815</v>
      </c>
      <c r="DP19"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19"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19"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19"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19"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19"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19"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19"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19"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19"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19"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19"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19"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19"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19"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19"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19"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19"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19"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19"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19"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19"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19"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19"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19"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19"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19"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19"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19"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19"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19"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19"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19"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19"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19"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19"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19"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19" s="96" t="s">
        <v>379</v>
      </c>
    </row>
    <row r="20" spans="1:157" customFormat="1" ht="15" x14ac:dyDescent="0.35">
      <c r="A20" t="s">
        <v>18</v>
      </c>
      <c r="B20" t="s">
        <v>288</v>
      </c>
      <c r="C20" t="s">
        <v>59</v>
      </c>
      <c r="D20" t="s">
        <v>61</v>
      </c>
      <c r="E20" t="s">
        <v>16</v>
      </c>
      <c r="F20" s="46">
        <v>3500</v>
      </c>
      <c r="G20" s="14">
        <f ca="1">OM.Table[[#This Row],[PV.Baseline.TOS]]-OM.Table[[#This Row],[PV.Efficient.TOS]]</f>
        <v>5.7364507553390034</v>
      </c>
      <c r="H20" s="14">
        <f ca="1">OM.Table[[#This Row],[PV.Baseline.ER]]-OM.Table[[#This Row],[PV.Efficient.ER]]</f>
        <v>7.7914241004396558</v>
      </c>
      <c r="I20" s="47" t="s">
        <v>16</v>
      </c>
      <c r="J20" s="48" t="s">
        <v>16</v>
      </c>
      <c r="K20" s="49" t="str">
        <f>IFERROR(OM.Table[[#This Row],[Eff.Equip.Cost]]+OM.Table[[#This Row],[Eff.Labor.Cost]],"NA")</f>
        <v>NA</v>
      </c>
      <c r="L20" s="48">
        <v>6.52</v>
      </c>
      <c r="M20" s="48">
        <f t="shared" si="123"/>
        <v>0.99570115433229001</v>
      </c>
      <c r="N20" s="49">
        <f>IFERROR(OM.Table[[#This Row],[Base.Equip.Cost]]+OM.Table[[#This Row],[Base.Labor.Cost]],"NA")</f>
        <v>7.5157011543322891</v>
      </c>
      <c r="O20" s="87" t="s">
        <v>16</v>
      </c>
      <c r="P20" s="87" t="s">
        <v>16</v>
      </c>
      <c r="Q20" s="49" t="str">
        <f>IFERROR(OM.Table[[#This Row],[2nd.Base.Equip.Cost]]+OM.Table[[#This Row],[2nd.Base.Labor.Cost]],"NA")</f>
        <v>NA</v>
      </c>
      <c r="R20" s="50">
        <v>4.3</v>
      </c>
      <c r="S20" s="5">
        <f>OM.Table[[#This Row],[Measure.Life.Yrs]]/3</f>
        <v>1.4333333333333333</v>
      </c>
      <c r="T20" s="7" t="s">
        <v>16</v>
      </c>
      <c r="U20" s="51" t="str">
        <f>IFERROR(OM.Table[[#This Row],[Eff.Life.Hrs]]/OM.Table[[#This Row],[Annual.HOU]],"NA")</f>
        <v>NA</v>
      </c>
      <c r="V20" s="52">
        <v>10000</v>
      </c>
      <c r="W20" s="5">
        <f>IFERROR(OM.Table[[#This Row],[Base.Life.Hrs]]/OM.Table[[#This Row],[Annual.HOU]],"NA")</f>
        <v>2.8571428571428572</v>
      </c>
      <c r="X20" s="90" t="s">
        <v>16</v>
      </c>
      <c r="Y20" s="90" t="s">
        <v>16</v>
      </c>
      <c r="Z20" s="51" t="str">
        <f>IFERROR(OM.Table[[#This Row],[2nd.Base.Life.Hrs]]/OM.Table[[#This Row],[Annual.HOU]],"NA")</f>
        <v>NA</v>
      </c>
      <c r="AA20" s="13">
        <f>NPV(DiscountRate,OM.Table[[#This Row],[Eff.Annual.Cost.Y00.TOS]:[Eff.Annual.Cost.Y20.TOS]])</f>
        <v>0</v>
      </c>
      <c r="AB20"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5.7364507553390034</v>
      </c>
      <c r="AC20" s="13">
        <f>NPV(DiscountRate,OM.Table[[#This Row],[Eff.Annual.Cost.Y00.ER]:[Eff.Annual.Cost.Y20.ER]])</f>
        <v>0</v>
      </c>
      <c r="AD20"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7.7914241004396558</v>
      </c>
      <c r="AE20"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0"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0"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0"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0"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0"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0"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0"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0"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0"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0"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0"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0"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0"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0"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0"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0"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0"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0"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0"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0"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0"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0"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0.75157011543322916</v>
      </c>
      <c r="BB20"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2.6304954040163011</v>
      </c>
      <c r="BC20"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2.6304954040163011</v>
      </c>
      <c r="BD20"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0.78914862120488993</v>
      </c>
      <c r="BE20"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20"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20"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20"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20"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20"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20"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20"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20"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20"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20"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0"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0"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0"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0"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0"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0"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0"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0"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0"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0"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0"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0"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0"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0"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0"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0"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0"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0"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0"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0"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0"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0"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0"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0"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0"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0"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0"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0"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0"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0"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0"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0"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0"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0"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0"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0"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0"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0"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0"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0"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0"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0"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0"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0"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0"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0"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0"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0"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0.36826935656228221</v>
      </c>
      <c r="DL20"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2.6304954040163011</v>
      </c>
      <c r="DM20"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2.6304954040163011</v>
      </c>
      <c r="DN20"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2.6304954040163011</v>
      </c>
      <c r="DO20"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0.78914862120488993</v>
      </c>
      <c r="DP20"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20"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20"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20"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20"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20"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20"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20"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20"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20"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20"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0"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0"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0"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0"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0"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0"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0"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0"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0"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0"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0"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0"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0"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0"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0"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0"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0"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0"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0"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0"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0"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0"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0"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0"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0"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0"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0" s="96" t="s">
        <v>380</v>
      </c>
    </row>
    <row r="21" spans="1:157" customFormat="1" ht="15" x14ac:dyDescent="0.35">
      <c r="A21" t="s">
        <v>18</v>
      </c>
      <c r="B21" t="s">
        <v>289</v>
      </c>
      <c r="C21" t="s">
        <v>59</v>
      </c>
      <c r="D21" t="s">
        <v>62</v>
      </c>
      <c r="E21" t="s">
        <v>16</v>
      </c>
      <c r="F21" s="46">
        <v>3500</v>
      </c>
      <c r="G21" s="14">
        <f ca="1">OM.Table[[#This Row],[PV.Baseline.TOS]]-OM.Table[[#This Row],[PV.Efficient.TOS]]</f>
        <v>11.437380201826887</v>
      </c>
      <c r="H21" s="14">
        <f ca="1">OM.Table[[#This Row],[PV.Baseline.ER]]-OM.Table[[#This Row],[PV.Efficient.ER]]</f>
        <v>12.087245411099326</v>
      </c>
      <c r="I21" s="47" t="s">
        <v>16</v>
      </c>
      <c r="J21" s="48" t="s">
        <v>16</v>
      </c>
      <c r="K21" s="49" t="str">
        <f>IFERROR(OM.Table[[#This Row],[Eff.Equip.Cost]]+OM.Table[[#This Row],[Eff.Labor.Cost]],"NA")</f>
        <v>NA</v>
      </c>
      <c r="L21" s="48">
        <v>6</v>
      </c>
      <c r="M21" s="48">
        <f t="shared" si="123"/>
        <v>0.99570115433229001</v>
      </c>
      <c r="N21" s="49">
        <f>IFERROR(OM.Table[[#This Row],[Base.Equip.Cost]]+OM.Table[[#This Row],[Base.Labor.Cost]],"NA")</f>
        <v>6.9957011543322896</v>
      </c>
      <c r="O21" s="87" t="s">
        <v>16</v>
      </c>
      <c r="P21" s="87" t="s">
        <v>16</v>
      </c>
      <c r="Q21" s="49" t="str">
        <f>IFERROR(OM.Table[[#This Row],[2nd.Base.Equip.Cost]]+OM.Table[[#This Row],[2nd.Base.Labor.Cost]],"NA")</f>
        <v>NA</v>
      </c>
      <c r="R21" s="50">
        <v>4.3</v>
      </c>
      <c r="S21" s="5">
        <f>OM.Table[[#This Row],[Measure.Life.Yrs]]/3</f>
        <v>1.4333333333333333</v>
      </c>
      <c r="T21" s="7" t="s">
        <v>16</v>
      </c>
      <c r="U21" s="51" t="str">
        <f>IFERROR(OM.Table[[#This Row],[Eff.Life.Hrs]]/OM.Table[[#This Row],[Annual.HOU]],"NA")</f>
        <v>NA</v>
      </c>
      <c r="V21" s="52">
        <v>6000</v>
      </c>
      <c r="W21" s="5">
        <f>IFERROR(OM.Table[[#This Row],[Base.Life.Hrs]]/OM.Table[[#This Row],[Annual.HOU]],"NA")</f>
        <v>1.7142857142857142</v>
      </c>
      <c r="X21" s="90" t="s">
        <v>16</v>
      </c>
      <c r="Y21" s="90" t="s">
        <v>16</v>
      </c>
      <c r="Z21" s="51" t="str">
        <f>IFERROR(OM.Table[[#This Row],[2nd.Base.Life.Hrs]]/OM.Table[[#This Row],[Annual.HOU]],"NA")</f>
        <v>NA</v>
      </c>
      <c r="AA21" s="13">
        <f>NPV(DiscountRate,OM.Table[[#This Row],[Eff.Annual.Cost.Y00.TOS]:[Eff.Annual.Cost.Y20.TOS]])</f>
        <v>0</v>
      </c>
      <c r="AB21"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11.437380201826887</v>
      </c>
      <c r="AC21" s="13">
        <f>NPV(DiscountRate,OM.Table[[#This Row],[Eff.Annual.Cost.Y00.ER]:[Eff.Annual.Cost.Y20.ER]])</f>
        <v>0</v>
      </c>
      <c r="AD21"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12.087245411099326</v>
      </c>
      <c r="AE21"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1"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1"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1"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1"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1"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1"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1"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1"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1"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1"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1"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1"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1"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1"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1"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1"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1"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1"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1"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1"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1"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1"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3.9642306541216312</v>
      </c>
      <c r="BB21"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4.0808256733605024</v>
      </c>
      <c r="BC21"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4.0808256733605024</v>
      </c>
      <c r="BD21"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1.2242477020081499</v>
      </c>
      <c r="BE21"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21"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21"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21"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21"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21"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21"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21"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21"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21"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21"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1"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1"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1"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1"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1"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1"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1"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1"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1"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1"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1"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1"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1"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1"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1"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1"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1"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1"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1"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1"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1"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1"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1"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1"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1"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1"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1"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1"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1"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1"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1"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1"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1"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1"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1"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1"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1"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1"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1"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1"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1"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1"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1"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1"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1"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1"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1"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1"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0.57131559427047041</v>
      </c>
      <c r="DL21"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4.0808256733605024</v>
      </c>
      <c r="DM21"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4.0808256733605024</v>
      </c>
      <c r="DN21"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4.0808256733605024</v>
      </c>
      <c r="DO21"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1.2242477020081499</v>
      </c>
      <c r="DP21"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21"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21"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21"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21"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21"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21"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21"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21"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21"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21"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1"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1"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1"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1"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1"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1"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1"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1"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1"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1"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1"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1"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1"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1"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1"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1"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1"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1"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1"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1"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1"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1"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1"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1"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1"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1"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1" s="96" t="s">
        <v>379</v>
      </c>
    </row>
    <row r="22" spans="1:157" customFormat="1" ht="15" x14ac:dyDescent="0.35">
      <c r="A22" t="s">
        <v>18</v>
      </c>
      <c r="B22" t="s">
        <v>290</v>
      </c>
      <c r="C22" t="s">
        <v>59</v>
      </c>
      <c r="D22" t="s">
        <v>63</v>
      </c>
      <c r="E22" t="s">
        <v>16</v>
      </c>
      <c r="F22" s="46">
        <v>3500</v>
      </c>
      <c r="G22" s="14">
        <f ca="1">OM.Table[[#This Row],[PV.Baseline.TOS]]-OM.Table[[#This Row],[PV.Efficient.TOS]]</f>
        <v>10.129447807402753</v>
      </c>
      <c r="H22" s="14">
        <f ca="1">OM.Table[[#This Row],[PV.Baseline.ER]]-OM.Table[[#This Row],[PV.Efficient.ER]]</f>
        <v>10.70499706807353</v>
      </c>
      <c r="I22" s="47" t="s">
        <v>16</v>
      </c>
      <c r="J22" s="48" t="s">
        <v>16</v>
      </c>
      <c r="K22" s="49" t="str">
        <f>IFERROR(OM.Table[[#This Row],[Eff.Equip.Cost]]+OM.Table[[#This Row],[Eff.Labor.Cost]],"NA")</f>
        <v>NA</v>
      </c>
      <c r="L22" s="48">
        <v>5.2</v>
      </c>
      <c r="M22" s="48">
        <f t="shared" si="123"/>
        <v>0.99570115433229001</v>
      </c>
      <c r="N22" s="49">
        <f>IFERROR(OM.Table[[#This Row],[Base.Equip.Cost]]+OM.Table[[#This Row],[Base.Labor.Cost]],"NA")</f>
        <v>6.1957011543322906</v>
      </c>
      <c r="O22" s="87" t="s">
        <v>16</v>
      </c>
      <c r="P22" s="87" t="s">
        <v>16</v>
      </c>
      <c r="Q22" s="49" t="str">
        <f>IFERROR(OM.Table[[#This Row],[2nd.Base.Equip.Cost]]+OM.Table[[#This Row],[2nd.Base.Labor.Cost]],"NA")</f>
        <v>NA</v>
      </c>
      <c r="R22" s="50">
        <v>4.3</v>
      </c>
      <c r="S22" s="5">
        <f>OM.Table[[#This Row],[Measure.Life.Yrs]]/3</f>
        <v>1.4333333333333333</v>
      </c>
      <c r="T22" s="7" t="s">
        <v>16</v>
      </c>
      <c r="U22" s="51" t="str">
        <f>IFERROR(OM.Table[[#This Row],[Eff.Life.Hrs]]/OM.Table[[#This Row],[Annual.HOU]],"NA")</f>
        <v>NA</v>
      </c>
      <c r="V22" s="52">
        <v>6000</v>
      </c>
      <c r="W22" s="5">
        <f>IFERROR(OM.Table[[#This Row],[Base.Life.Hrs]]/OM.Table[[#This Row],[Annual.HOU]],"NA")</f>
        <v>1.7142857142857142</v>
      </c>
      <c r="X22" s="90" t="s">
        <v>16</v>
      </c>
      <c r="Y22" s="90" t="s">
        <v>16</v>
      </c>
      <c r="Z22" s="51" t="str">
        <f>IFERROR(OM.Table[[#This Row],[2nd.Base.Life.Hrs]]/OM.Table[[#This Row],[Annual.HOU]],"NA")</f>
        <v>NA</v>
      </c>
      <c r="AA22" s="13">
        <f>NPV(DiscountRate,OM.Table[[#This Row],[Eff.Annual.Cost.Y00.TOS]:[Eff.Annual.Cost.Y20.TOS]])</f>
        <v>0</v>
      </c>
      <c r="AB22"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10.129447807402753</v>
      </c>
      <c r="AC22" s="13">
        <f>NPV(DiscountRate,OM.Table[[#This Row],[Eff.Annual.Cost.Y00.ER]:[Eff.Annual.Cost.Y20.ER]])</f>
        <v>0</v>
      </c>
      <c r="AD22"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10.70499706807353</v>
      </c>
      <c r="AE22"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2"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2"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2"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2"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2"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2"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2"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2"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2"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2"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2"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2"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2"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2"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2"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2"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2"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2"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2"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2"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2"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2"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3.5108973207882985</v>
      </c>
      <c r="BB22"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3.6141590066938365</v>
      </c>
      <c r="BC22"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3.6141590066938365</v>
      </c>
      <c r="BD22"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1.0842477020081502</v>
      </c>
      <c r="BE22"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22"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22"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22"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22"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22"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22"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22"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22"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22"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22"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2"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2"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2"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2"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2"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2"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2"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2"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2"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2"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2"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2"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2"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2"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2"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2"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2"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2"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2"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2"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2"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2"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2"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2"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2"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2"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2"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2"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2"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2"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2"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2"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2"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2"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2"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2"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2"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2"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2"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2"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2"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2"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2"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2"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2"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2"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2"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2"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0.50598226093713716</v>
      </c>
      <c r="DL22"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3.6141590066938365</v>
      </c>
      <c r="DM22"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3.6141590066938365</v>
      </c>
      <c r="DN22"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3.6141590066938365</v>
      </c>
      <c r="DO22"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1.0842477020081502</v>
      </c>
      <c r="DP22"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22"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22"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22"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22"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22"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22"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22"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22"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22"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22"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2"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2"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2"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2"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2"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2"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2"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2"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2"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2"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2"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2"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2"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2"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2"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2"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2"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2"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2"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2"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2"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2"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2"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2"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2" s="93"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2"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2" s="96" t="s">
        <v>379</v>
      </c>
    </row>
    <row r="23" spans="1:157" customFormat="1" ht="15" x14ac:dyDescent="0.35">
      <c r="A23" t="s">
        <v>18</v>
      </c>
      <c r="B23" t="s">
        <v>64</v>
      </c>
      <c r="C23" t="s">
        <v>66</v>
      </c>
      <c r="D23" t="s">
        <v>65</v>
      </c>
      <c r="E23" t="s">
        <v>16</v>
      </c>
      <c r="F23" s="46">
        <v>6205</v>
      </c>
      <c r="G23" s="14">
        <f ca="1">OM.Table[[#This Row],[PV.Baseline.TOS]]-OM.Table[[#This Row],[PV.Efficient.TOS]]</f>
        <v>2.1742129145715094</v>
      </c>
      <c r="H23" s="14">
        <f ca="1">OM.Table[[#This Row],[PV.Baseline.ER]]-OM.Table[[#This Row],[PV.Efficient.ER]]</f>
        <v>2.8227010435496611</v>
      </c>
      <c r="I23" s="47" t="s">
        <v>16</v>
      </c>
      <c r="J23" s="48" t="s">
        <v>16</v>
      </c>
      <c r="K23" s="49" t="str">
        <f>IFERROR(OM.Table[[#This Row],[Eff.Equip.Cost]]+OM.Table[[#This Row],[Eff.Labor.Cost]],"NA")</f>
        <v>NA</v>
      </c>
      <c r="L23" s="48">
        <v>1.57</v>
      </c>
      <c r="M23" s="48">
        <f>8.889/100*BldgLaborerWageRate/4</f>
        <v>1.1777925</v>
      </c>
      <c r="N23" s="49">
        <f>IFERROR(OM.Table[[#This Row],[Base.Equip.Cost]]+OM.Table[[#This Row],[Base.Labor.Cost]],"NA")</f>
        <v>2.7477925000000001</v>
      </c>
      <c r="O23" s="87" t="s">
        <v>16</v>
      </c>
      <c r="P23" s="87" t="s">
        <v>16</v>
      </c>
      <c r="Q23" s="49" t="str">
        <f>IFERROR(OM.Table[[#This Row],[2nd.Base.Equip.Cost]]+OM.Table[[#This Row],[2nd.Base.Labor.Cost]],"NA")</f>
        <v>NA</v>
      </c>
      <c r="R23" s="50">
        <v>8</v>
      </c>
      <c r="S23" s="5">
        <f>OM.Table[[#This Row],[Measure.Life.Yrs]]/3</f>
        <v>2.6666666666666665</v>
      </c>
      <c r="T23" s="7" t="s">
        <v>16</v>
      </c>
      <c r="U23" s="51" t="str">
        <f>IFERROR(OM.Table[[#This Row],[Eff.Life.Hrs]]/OM.Table[[#This Row],[Annual.HOU]],"NA")</f>
        <v>NA</v>
      </c>
      <c r="V23" s="52">
        <v>30000</v>
      </c>
      <c r="W23" s="5">
        <f>IFERROR(OM.Table[[#This Row],[Base.Life.Hrs]]/OM.Table[[#This Row],[Annual.HOU]],"NA")</f>
        <v>4.8348106365834003</v>
      </c>
      <c r="X23" s="90" t="s">
        <v>16</v>
      </c>
      <c r="Y23" s="90" t="s">
        <v>16</v>
      </c>
      <c r="Z23" s="51" t="str">
        <f>IFERROR(OM.Table[[#This Row],[2nd.Base.Life.Hrs]]/OM.Table[[#This Row],[Annual.HOU]],"NA")</f>
        <v>NA</v>
      </c>
      <c r="AA23" s="13">
        <f>NPV(DiscountRate,OM.Table[[#This Row],[Eff.Annual.Cost.Y00.TOS]:[Eff.Annual.Cost.Y20.TOS]])</f>
        <v>0</v>
      </c>
      <c r="AB23"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2.1742129145715094</v>
      </c>
      <c r="AC23" s="13">
        <f>NPV(DiscountRate,OM.Table[[#This Row],[Eff.Annual.Cost.Y00.ER]:[Eff.Annual.Cost.Y20.ER]])</f>
        <v>0</v>
      </c>
      <c r="AD23"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2.8227010435496611</v>
      </c>
      <c r="AE23"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3"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3"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3"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3"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3"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3"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3"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3"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3"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3"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3"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3"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3"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3"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3"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3"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3"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3"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3"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3"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3"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3"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23"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5.6329746250000229E-2</v>
      </c>
      <c r="BC23"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0.56833508208333339</v>
      </c>
      <c r="BD23"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0.56833508208333339</v>
      </c>
      <c r="BE23"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0.56833508208333339</v>
      </c>
      <c r="BF23"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0.56833508208333339</v>
      </c>
      <c r="BG23"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0.56833508208333339</v>
      </c>
      <c r="BH23"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23"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23"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23"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23"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23"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23"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23"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3"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3"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3"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3"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3"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3"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3"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3"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3"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3"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3"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3"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3"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3"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3"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3"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3"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3"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3"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3"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3"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3"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3"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3"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3"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3"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3"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3"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3"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3"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3"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3"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3"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3"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3"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3"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3"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3"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3"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3"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3"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3"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3"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3"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3"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3"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3"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3"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3"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0.22733403283333342</v>
      </c>
      <c r="DM23"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0.56833508208333339</v>
      </c>
      <c r="DN23"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0.56833508208333339</v>
      </c>
      <c r="DO23"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0.56833508208333339</v>
      </c>
      <c r="DP23"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0.56833508208333339</v>
      </c>
      <c r="DQ23"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0.56833508208333339</v>
      </c>
      <c r="DR23"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0.56833508208333339</v>
      </c>
      <c r="DS23"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23"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23"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23"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23"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23"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23"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23"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3"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3"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3"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3"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3"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3"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3"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3"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3"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3"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3"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3"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3"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3"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3"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3"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3"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3"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3"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3"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3"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3"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3"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3"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3" s="93"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3"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3" s="96" t="s">
        <v>390</v>
      </c>
    </row>
    <row r="24" spans="1:157" customFormat="1" ht="15" x14ac:dyDescent="0.35">
      <c r="A24" t="s">
        <v>18</v>
      </c>
      <c r="B24" t="s">
        <v>100</v>
      </c>
      <c r="C24" t="s">
        <v>101</v>
      </c>
      <c r="D24" t="s">
        <v>19</v>
      </c>
      <c r="E24" t="s">
        <v>16</v>
      </c>
      <c r="F24" s="46">
        <v>3500</v>
      </c>
      <c r="G24" s="14">
        <f ca="1">OM.Table[[#This Row],[PV.Baseline.TOS]]-OM.Table[[#This Row],[PV.Efficient.TOS]]</f>
        <v>23.27035222208448</v>
      </c>
      <c r="H24" s="14">
        <f ca="1">OM.Table[[#This Row],[PV.Baseline.ER]]-OM.Table[[#This Row],[PV.Efficient.ER]]</f>
        <v>23.79967748191471</v>
      </c>
      <c r="I24" s="47" t="s">
        <v>16</v>
      </c>
      <c r="J24" s="48" t="s">
        <v>16</v>
      </c>
      <c r="K24" s="49" t="str">
        <f>IFERROR(OM.Table[[#This Row],[Eff.Equip.Cost]]+OM.Table[[#This Row],[Eff.Labor.Cost]],"NA")</f>
        <v>NA</v>
      </c>
      <c r="L24" s="48">
        <v>12</v>
      </c>
      <c r="M24" s="48">
        <f>10/60*MaintenanceWageRate</f>
        <v>3.3190038477742996</v>
      </c>
      <c r="N24" s="49">
        <f>IFERROR(OM.Table[[#This Row],[Base.Equip.Cost]]+OM.Table[[#This Row],[Base.Labor.Cost]],"NA")</f>
        <v>15.319003847774299</v>
      </c>
      <c r="O24" s="87" t="s">
        <v>16</v>
      </c>
      <c r="P24" s="87" t="s">
        <v>16</v>
      </c>
      <c r="Q24" s="49" t="str">
        <f>IFERROR(OM.Table[[#This Row],[2nd.Base.Equip.Cost]]+OM.Table[[#This Row],[2nd.Base.Labor.Cost]],"NA")</f>
        <v>NA</v>
      </c>
      <c r="R24" s="50">
        <v>12</v>
      </c>
      <c r="S24" s="5">
        <f>OM.Table[[#This Row],[Measure.Life.Yrs]]/3</f>
        <v>4</v>
      </c>
      <c r="T24" s="7" t="s">
        <v>16</v>
      </c>
      <c r="U24" s="51" t="str">
        <f>IFERROR(OM.Table[[#This Row],[Eff.Life.Hrs]]/OM.Table[[#This Row],[Annual.HOU]],"NA")</f>
        <v>NA</v>
      </c>
      <c r="V24" s="52">
        <v>15000</v>
      </c>
      <c r="W24" s="5">
        <f>IFERROR(OM.Table[[#This Row],[Base.Life.Hrs]]/OM.Table[[#This Row],[Annual.HOU]],"NA")</f>
        <v>4.2857142857142856</v>
      </c>
      <c r="X24" s="90" t="s">
        <v>16</v>
      </c>
      <c r="Y24" s="90" t="s">
        <v>16</v>
      </c>
      <c r="Z24" s="51" t="str">
        <f>IFERROR(OM.Table[[#This Row],[2nd.Base.Life.Hrs]]/OM.Table[[#This Row],[Annual.HOU]],"NA")</f>
        <v>NA</v>
      </c>
      <c r="AA24" s="13">
        <f>NPV(DiscountRate,OM.Table[[#This Row],[Eff.Annual.Cost.Y00.TOS]:[Eff.Annual.Cost.Y20.TOS]])</f>
        <v>0</v>
      </c>
      <c r="AB24"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23.27035222208448</v>
      </c>
      <c r="AC24" s="13">
        <f>NPV(DiscountRate,OM.Table[[#This Row],[Eff.Annual.Cost.Y00.ER]:[Eff.Annual.Cost.Y20.ER]])</f>
        <v>0</v>
      </c>
      <c r="AD24"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23.79967748191471</v>
      </c>
      <c r="AE24"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4"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4"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4"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4"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4"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4"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4"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4"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4"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4"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4"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4"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4"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4"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4"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4"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4"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4"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4"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4"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4"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4"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24"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1.5319003847774308</v>
      </c>
      <c r="BC24"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3.5744342311473365</v>
      </c>
      <c r="BD24"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3.5744342311473365</v>
      </c>
      <c r="BE24"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3.5744342311473365</v>
      </c>
      <c r="BF24"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3.5744342311473365</v>
      </c>
      <c r="BG24"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3.5744342311473365</v>
      </c>
      <c r="BH24"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3.5744342311473365</v>
      </c>
      <c r="BI24"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3.5744342311473365</v>
      </c>
      <c r="BJ24"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3.5744342311473365</v>
      </c>
      <c r="BK24"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3.5744342311473365</v>
      </c>
      <c r="BL24"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24"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24"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24"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4"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4"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4"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4"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4"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4"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4"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4"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4"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4"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4"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4"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4"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4"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4"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4"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4"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4"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4"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4"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4"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4"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4"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4"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4"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4"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4"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4"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4"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4"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4"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4"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4"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4"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4"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4"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4"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4"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4"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4"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4"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4"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4"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4"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4"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4"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4"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4"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4"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4"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2.1446605386884019</v>
      </c>
      <c r="DN24"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3.5744342311473365</v>
      </c>
      <c r="DO24"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3.5744342311473365</v>
      </c>
      <c r="DP24"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3.5744342311473365</v>
      </c>
      <c r="DQ24"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3.5744342311473365</v>
      </c>
      <c r="DR24"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3.5744342311473365</v>
      </c>
      <c r="DS24"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3.5744342311473365</v>
      </c>
      <c r="DT24"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3.5744342311473365</v>
      </c>
      <c r="DU24"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3.5744342311473365</v>
      </c>
      <c r="DV24"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3.5744342311473365</v>
      </c>
      <c r="DW24"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24"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24"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24"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4"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4"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4"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4"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4"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4"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4"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4"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4"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4"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4"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4"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4"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4"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4"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4"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4"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4"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4"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4"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4"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4"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4"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4"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4" s="100"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4"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4" s="96" t="s">
        <v>249</v>
      </c>
    </row>
    <row r="25" spans="1:157" ht="15" x14ac:dyDescent="0.35">
      <c r="A25" t="s">
        <v>18</v>
      </c>
      <c r="B25" t="s">
        <v>102</v>
      </c>
      <c r="C25" t="s">
        <v>103</v>
      </c>
      <c r="D25" t="s">
        <v>104</v>
      </c>
      <c r="E25" t="s">
        <v>16</v>
      </c>
      <c r="F25" s="46">
        <f>365*8</f>
        <v>2920</v>
      </c>
      <c r="G25" s="14">
        <f ca="1">OM.Table[[#This Row],[PV.Baseline.TOS]]-OM.Table[[#This Row],[PV.Efficient.TOS]]</f>
        <v>7.1748636093249978</v>
      </c>
      <c r="H25" s="14">
        <f ca="1">OM.Table[[#This Row],[PV.Baseline.ER]]-OM.Table[[#This Row],[PV.Efficient.ER]]</f>
        <v>6.4834479954604038</v>
      </c>
      <c r="I25" s="47" t="s">
        <v>16</v>
      </c>
      <c r="J25" s="48" t="s">
        <v>16</v>
      </c>
      <c r="K25" s="49" t="str">
        <f>IFERROR(OM.Table[[#This Row],[Eff.Equip.Cost]]+OM.Table[[#This Row],[Eff.Labor.Cost]],"NA")</f>
        <v>NA</v>
      </c>
      <c r="L25" s="48">
        <v>2.9</v>
      </c>
      <c r="M25" s="48">
        <v>0</v>
      </c>
      <c r="N25" s="49">
        <f>IFERROR(OM.Table[[#This Row],[Base.Equip.Cost]]+OM.Table[[#This Row],[Base.Labor.Cost]],"NA")</f>
        <v>2.9</v>
      </c>
      <c r="O25" s="87" t="s">
        <v>16</v>
      </c>
      <c r="P25" s="87" t="s">
        <v>16</v>
      </c>
      <c r="Q25" s="49" t="str">
        <f>IFERROR(OM.Table[[#This Row],[2nd.Base.Equip.Cost]]+OM.Table[[#This Row],[2nd.Base.Labor.Cost]],"NA")</f>
        <v>NA</v>
      </c>
      <c r="R25" s="50">
        <v>15</v>
      </c>
      <c r="S25" s="5">
        <f>OM.Table[[#This Row],[Measure.Life.Yrs]]/3</f>
        <v>5</v>
      </c>
      <c r="T25" s="7" t="s">
        <v>16</v>
      </c>
      <c r="U25" s="51" t="str">
        <f>IFERROR(OM.Table[[#This Row],[Eff.Life.Hrs]]/OM.Table[[#This Row],[Annual.HOU]],"NA")</f>
        <v>NA</v>
      </c>
      <c r="V25" s="52">
        <v>10000</v>
      </c>
      <c r="W25" s="5">
        <f>IFERROR(OM.Table[[#This Row],[Base.Life.Hrs]]/OM.Table[[#This Row],[Annual.HOU]],"NA")</f>
        <v>3.4246575342465753</v>
      </c>
      <c r="X25" s="90" t="s">
        <v>16</v>
      </c>
      <c r="Y25" s="90" t="s">
        <v>16</v>
      </c>
      <c r="Z25" s="51" t="str">
        <f>IFERROR(OM.Table[[#This Row],[2nd.Base.Life.Hrs]]/OM.Table[[#This Row],[Annual.HOU]],"NA")</f>
        <v>NA</v>
      </c>
      <c r="AA25" s="13">
        <f>NPV(DiscountRate,OM.Table[[#This Row],[Eff.Annual.Cost.Y00.TOS]:[Eff.Annual.Cost.Y20.TOS]])</f>
        <v>0</v>
      </c>
      <c r="AB25" s="14">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7.1748636093249978</v>
      </c>
      <c r="AC25" s="13">
        <f>NPV(DiscountRate,OM.Table[[#This Row],[Eff.Annual.Cost.Y00.ER]:[Eff.Annual.Cost.Y20.ER]])</f>
        <v>0</v>
      </c>
      <c r="AD25"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6.4834479954604038</v>
      </c>
      <c r="AE25" s="6">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5" s="3">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5" s="3">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5" s="3">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5" s="3">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5" s="3">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5" s="3">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5" s="3">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5" s="3">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5" s="3">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5" s="3">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5" s="3">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5" s="3">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5" s="3">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5" s="3">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5" s="3">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5" s="3">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5" s="3">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5" s="3">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5" s="3">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5" s="3">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5"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v>
      </c>
      <c r="BA25"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v>
      </c>
      <c r="BB25"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0.80040000000000022</v>
      </c>
      <c r="BC25"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0.8468</v>
      </c>
      <c r="BD25"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0.8468</v>
      </c>
      <c r="BE25"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0.8468</v>
      </c>
      <c r="BF25"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0.8468</v>
      </c>
      <c r="BG25"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0.8468</v>
      </c>
      <c r="BH25"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0.8468</v>
      </c>
      <c r="BI25"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0.8468</v>
      </c>
      <c r="BJ25"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0.8468</v>
      </c>
      <c r="BK25"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0.8468</v>
      </c>
      <c r="BL25"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0.8468</v>
      </c>
      <c r="BM25"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0.8468</v>
      </c>
      <c r="BN25"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0.8468</v>
      </c>
      <c r="BO25"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25"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25"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5"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5"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5" s="44">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5" s="92" t="str">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NA</v>
      </c>
      <c r="BV25" s="93" t="str">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NA</v>
      </c>
      <c r="BW25" s="93" t="str">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NA</v>
      </c>
      <c r="BX25" s="93" t="str">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NA</v>
      </c>
      <c r="BY25" s="93" t="str">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NA</v>
      </c>
      <c r="BZ25" s="93" t="str">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NA</v>
      </c>
      <c r="CA25" s="93" t="str">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NA</v>
      </c>
      <c r="CB25" s="93" t="str">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NA</v>
      </c>
      <c r="CC25" s="93" t="str">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NA</v>
      </c>
      <c r="CD25" s="93" t="str">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NA</v>
      </c>
      <c r="CE25" s="93" t="str">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NA</v>
      </c>
      <c r="CF25" s="93" t="str">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NA</v>
      </c>
      <c r="CG25" s="93" t="str">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NA</v>
      </c>
      <c r="CH25" s="93" t="str">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NA</v>
      </c>
      <c r="CI25" s="93" t="str">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NA</v>
      </c>
      <c r="CJ25" s="93" t="str">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NA</v>
      </c>
      <c r="CK25" s="93" t="str">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NA</v>
      </c>
      <c r="CL25" s="93" t="str">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NA</v>
      </c>
      <c r="CM25" s="93" t="str">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NA</v>
      </c>
      <c r="CN25" s="93" t="str">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NA</v>
      </c>
      <c r="CO25" s="94" t="str">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NA</v>
      </c>
      <c r="CP25" s="34">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5" s="57">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5"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5"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5"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5"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5"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5"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5"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5"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5"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5"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5"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5"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5"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5"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5"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5"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5"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5"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5"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5"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5"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5"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25"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0.8468</v>
      </c>
      <c r="DO25"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0.8468</v>
      </c>
      <c r="DP25"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0.8468</v>
      </c>
      <c r="DQ25"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0.8468</v>
      </c>
      <c r="DR25"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0.8468</v>
      </c>
      <c r="DS25"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0.8468</v>
      </c>
      <c r="DT25"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0.8468</v>
      </c>
      <c r="DU25"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0.8468</v>
      </c>
      <c r="DV25"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0.8468</v>
      </c>
      <c r="DW25"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0.8468</v>
      </c>
      <c r="DX25"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0.8468</v>
      </c>
      <c r="DY25"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0.8468</v>
      </c>
      <c r="DZ25"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25"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25"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5"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5"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5" s="44">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5" s="93" t="str">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NA</v>
      </c>
      <c r="EG25" s="93" t="str">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NA</v>
      </c>
      <c r="EH25" s="93" t="str">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NA</v>
      </c>
      <c r="EI25" s="93" t="str">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NA</v>
      </c>
      <c r="EJ25" s="93" t="str">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NA</v>
      </c>
      <c r="EK25" s="93" t="str">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NA</v>
      </c>
      <c r="EL25" s="93" t="str">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NA</v>
      </c>
      <c r="EM25" s="93" t="str">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NA</v>
      </c>
      <c r="EN25" s="93" t="str">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NA</v>
      </c>
      <c r="EO25" s="93" t="str">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NA</v>
      </c>
      <c r="EP25" s="93" t="str">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NA</v>
      </c>
      <c r="EQ25" s="93" t="str">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NA</v>
      </c>
      <c r="ER25" s="93" t="str">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NA</v>
      </c>
      <c r="ES25" s="93" t="str">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NA</v>
      </c>
      <c r="ET25" s="93" t="str">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NA</v>
      </c>
      <c r="EU25" s="93" t="str">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NA</v>
      </c>
      <c r="EV25" s="93" t="str">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NA</v>
      </c>
      <c r="EW25" s="93" t="str">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NA</v>
      </c>
      <c r="EX25" s="101" t="str">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NA</v>
      </c>
      <c r="EY25" s="93" t="str">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NA</v>
      </c>
      <c r="EZ25" s="94" t="str">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NA</v>
      </c>
      <c r="FA25" s="96" t="s">
        <v>250</v>
      </c>
    </row>
    <row r="26" spans="1:157" ht="15" x14ac:dyDescent="0.35">
      <c r="A26" s="8" t="s">
        <v>362</v>
      </c>
      <c r="B26" t="s">
        <v>363</v>
      </c>
      <c r="C26" t="s">
        <v>59</v>
      </c>
      <c r="D26" t="s">
        <v>300</v>
      </c>
      <c r="E26" t="s">
        <v>60</v>
      </c>
      <c r="F26" s="46">
        <v>679</v>
      </c>
      <c r="G26" s="118">
        <f ca="1">OM.Table[[#This Row],[PV.Baseline.TOS]]-OM.Table[[#This Row],[PV.Efficient.TOS]]</f>
        <v>2.0151235585199139</v>
      </c>
      <c r="H26" s="119">
        <f ca="1">OM.Table[[#This Row],[PV.Baseline.ER]]-OM.Table[[#This Row],[PV.Efficient.ER]]</f>
        <v>1.7014588842516094</v>
      </c>
      <c r="I26" s="47" t="s">
        <v>16</v>
      </c>
      <c r="J26" s="48" t="s">
        <v>16</v>
      </c>
      <c r="K26" s="120" t="str">
        <f>IFERROR(OM.Table[[#This Row],[Eff.Equip.Cost]]+OM.Table[[#This Row],[Eff.Labor.Cost]],"NA")</f>
        <v>NA</v>
      </c>
      <c r="L26" s="48">
        <v>1.7</v>
      </c>
      <c r="M26" s="48">
        <v>0</v>
      </c>
      <c r="N26" s="120">
        <f>IFERROR(OM.Table[[#This Row],[Base.Equip.Cost]]+OM.Table[[#This Row],[Base.Labor.Cost]],"NA")</f>
        <v>1.7</v>
      </c>
      <c r="O26" s="48">
        <v>3.12</v>
      </c>
      <c r="P26" s="48">
        <v>0</v>
      </c>
      <c r="Q26" s="49">
        <f>IFERROR(OM.Table[[#This Row],[2nd.Base.Equip.Cost]]+OM.Table[[#This Row],[2nd.Base.Labor.Cost]],"NA")</f>
        <v>3.12</v>
      </c>
      <c r="R26" s="50">
        <v>16.3</v>
      </c>
      <c r="S26" s="121">
        <f>OM.Table[[#This Row],[Measure.Life.Yrs]]/3</f>
        <v>5.4333333333333336</v>
      </c>
      <c r="T26" s="7" t="s">
        <v>16</v>
      </c>
      <c r="U26" s="121" t="str">
        <f>IFERROR(OM.Table[[#This Row],[Eff.Life.Hrs]]/OM.Table[[#This Row],[Annual.HOU]],"NA")</f>
        <v>NA</v>
      </c>
      <c r="V26" s="52">
        <v>1000</v>
      </c>
      <c r="W26" s="122">
        <f>IFERROR(OM.Table[[#This Row],[Base.Life.Hrs]]/OM.Table[[#This Row],[Annual.HOU]],"NA")</f>
        <v>1.4727540500736378</v>
      </c>
      <c r="X26" s="91">
        <v>2020</v>
      </c>
      <c r="Y26" s="52">
        <v>10000</v>
      </c>
      <c r="Z26" s="51">
        <f>IFERROR(OM.Table[[#This Row],[2nd.Base.Life.Hrs]]/OM.Table[[#This Row],[Annual.HOU]],"NA")</f>
        <v>14.727540500736376</v>
      </c>
      <c r="AA26" s="13">
        <f>NPV(DiscountRate,OM.Table[[#This Row],[Eff.Annual.Cost.Y00.TOS]:[Eff.Annual.Cost.Y20.TOS]])</f>
        <v>0</v>
      </c>
      <c r="AB26"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2.0151235585199139</v>
      </c>
      <c r="AC26" s="13">
        <f>NPV(DiscountRate,OM.Table[[#This Row],[Eff.Annual.Cost.Y00.ER]:[Eff.Annual.Cost.Y20.ER]])</f>
        <v>0</v>
      </c>
      <c r="AD26"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1.7014588842516094</v>
      </c>
      <c r="AE26"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6"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6"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6"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6"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6"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6"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6"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6"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6"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6"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6"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6"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6"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6"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6"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6"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6"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6"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6"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6"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6"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0.13429999999999989</v>
      </c>
      <c r="BA26"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1.1542999999999999</v>
      </c>
      <c r="BB26"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1.1542999999999999</v>
      </c>
      <c r="BC26"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1.1542999999999999</v>
      </c>
      <c r="BD26"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1.1542999999999999</v>
      </c>
      <c r="BE26"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1.1542999999999999</v>
      </c>
      <c r="BF26"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1.1542999999999999</v>
      </c>
      <c r="BG26"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1.1542999999999999</v>
      </c>
      <c r="BH26"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1.1542999999999999</v>
      </c>
      <c r="BI26"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1.1542999999999999</v>
      </c>
      <c r="BJ26"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1.1542999999999999</v>
      </c>
      <c r="BK26"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1.1542999999999999</v>
      </c>
      <c r="BL26"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1.1542999999999999</v>
      </c>
      <c r="BM26"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1.1542999999999999</v>
      </c>
      <c r="BN26"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1.1542999999999999</v>
      </c>
      <c r="BO26"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1.1542999999999999</v>
      </c>
      <c r="BP26"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0.34629000000000082</v>
      </c>
      <c r="BQ26"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6"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6"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6"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6"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26"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26"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26"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26"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26"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26"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26"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26"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3.463200000000026E-2</v>
      </c>
      <c r="CD26"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0.21184800000000001</v>
      </c>
      <c r="CE26"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0.21184800000000001</v>
      </c>
      <c r="CF26"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0.21184800000000001</v>
      </c>
      <c r="CG26"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0.21184800000000001</v>
      </c>
      <c r="CH26"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0.21184800000000001</v>
      </c>
      <c r="CI26"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0.21184800000000001</v>
      </c>
      <c r="CJ26"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0.21184800000000001</v>
      </c>
      <c r="CK26"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6.3554400000000164E-2</v>
      </c>
      <c r="CL26"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26"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26"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26"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26"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6"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6" s="57">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6"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6"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6"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6"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6"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6"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6"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6"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6"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6"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6"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6"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6"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6"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6"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6"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6"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6"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6" s="34">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6" s="3">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6" s="3">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26" s="3">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0.85418199999999966</v>
      </c>
      <c r="DO26" s="3">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1.1542999999999999</v>
      </c>
      <c r="DP26" s="3">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1.1542999999999999</v>
      </c>
      <c r="DQ26" s="3">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1.1542999999999999</v>
      </c>
      <c r="DR26" s="3">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1.1542999999999999</v>
      </c>
      <c r="DS26" s="3">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1.1542999999999999</v>
      </c>
      <c r="DT26" s="3">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1.1542999999999999</v>
      </c>
      <c r="DU26" s="3">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1.1542999999999999</v>
      </c>
      <c r="DV26" s="3">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1.1542999999999999</v>
      </c>
      <c r="DW26" s="3">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1.1542999999999999</v>
      </c>
      <c r="DX26" s="3">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1.1542999999999999</v>
      </c>
      <c r="DY26" s="3">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1.1542999999999999</v>
      </c>
      <c r="DZ26" s="3">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1.1542999999999999</v>
      </c>
      <c r="EA26" s="3">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0.34629000000000082</v>
      </c>
      <c r="EB26" s="3">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6" s="3">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6" s="3">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6" s="3">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6" s="100">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26" s="100">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v>
      </c>
      <c r="EH26" s="100">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v>
      </c>
      <c r="EI26" s="100">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0.15676751999999997</v>
      </c>
      <c r="EJ26" s="100">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0.21184800000000001</v>
      </c>
      <c r="EK26" s="100">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0.21184800000000001</v>
      </c>
      <c r="EL26" s="100">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0.21184800000000001</v>
      </c>
      <c r="EM26" s="100">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0.21184800000000001</v>
      </c>
      <c r="EN26" s="100">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0.21184800000000001</v>
      </c>
      <c r="EO26" s="100">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0.21184800000000001</v>
      </c>
      <c r="EP26" s="100">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0.21184800000000001</v>
      </c>
      <c r="EQ26" s="100">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0.21184800000000001</v>
      </c>
      <c r="ER26" s="100">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0.21184800000000001</v>
      </c>
      <c r="ES26" s="100">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0.21184800000000001</v>
      </c>
      <c r="ET26" s="100">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0.21184800000000001</v>
      </c>
      <c r="EU26" s="100">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0.21184800000000001</v>
      </c>
      <c r="EV26" s="100">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6.3554400000000164E-2</v>
      </c>
      <c r="EW26" s="100">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26" s="12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26"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26"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26" s="96" t="s">
        <v>381</v>
      </c>
    </row>
    <row r="27" spans="1:157" ht="15" x14ac:dyDescent="0.35">
      <c r="A27" s="8" t="s">
        <v>362</v>
      </c>
      <c r="B27" t="s">
        <v>364</v>
      </c>
      <c r="C27" t="s">
        <v>59</v>
      </c>
      <c r="D27" t="s">
        <v>301</v>
      </c>
      <c r="E27" t="s">
        <v>20</v>
      </c>
      <c r="F27" s="46">
        <v>679</v>
      </c>
      <c r="G27" s="118">
        <f ca="1">OM.Table[[#This Row],[PV.Baseline.TOS]]-OM.Table[[#This Row],[PV.Efficient.TOS]]</f>
        <v>5.9640331837100113</v>
      </c>
      <c r="H27" s="119">
        <f ca="1">OM.Table[[#This Row],[PV.Baseline.ER]]-OM.Table[[#This Row],[PV.Efficient.ER]]</f>
        <v>5.9623772866936733</v>
      </c>
      <c r="I27" s="47" t="s">
        <v>16</v>
      </c>
      <c r="J27" s="48" t="s">
        <v>16</v>
      </c>
      <c r="K27" s="120" t="str">
        <f>IFERROR(OM.Table[[#This Row],[Eff.Equip.Cost]]+OM.Table[[#This Row],[Eff.Labor.Cost]],"NA")</f>
        <v>NA</v>
      </c>
      <c r="L27" s="48">
        <v>1.74</v>
      </c>
      <c r="M27" s="48">
        <v>0</v>
      </c>
      <c r="N27" s="120">
        <f>IFERROR(OM.Table[[#This Row],[Base.Equip.Cost]]+OM.Table[[#This Row],[Base.Labor.Cost]],"NA")</f>
        <v>1.74</v>
      </c>
      <c r="O27" s="48">
        <v>6.56</v>
      </c>
      <c r="P27" s="48">
        <v>0</v>
      </c>
      <c r="Q27" s="49">
        <f>IFERROR(OM.Table[[#This Row],[2nd.Base.Equip.Cost]]+OM.Table[[#This Row],[2nd.Base.Labor.Cost]],"NA")</f>
        <v>6.56</v>
      </c>
      <c r="R27" s="50">
        <v>16.3</v>
      </c>
      <c r="S27" s="121">
        <f>OM.Table[[#This Row],[Measure.Life.Yrs]]/3</f>
        <v>5.4333333333333336</v>
      </c>
      <c r="T27" s="7" t="s">
        <v>16</v>
      </c>
      <c r="U27" s="121" t="str">
        <f>IFERROR(OM.Table[[#This Row],[Eff.Life.Hrs]]/OM.Table[[#This Row],[Annual.HOU]],"NA")</f>
        <v>NA</v>
      </c>
      <c r="V27" s="52">
        <v>1000</v>
      </c>
      <c r="W27" s="122">
        <f>IFERROR(OM.Table[[#This Row],[Base.Life.Hrs]]/OM.Table[[#This Row],[Annual.HOU]],"NA")</f>
        <v>1.4727540500736378</v>
      </c>
      <c r="X27" s="91">
        <v>2020</v>
      </c>
      <c r="Y27" s="52">
        <v>6000</v>
      </c>
      <c r="Z27" s="51">
        <f>IFERROR(OM.Table[[#This Row],[2nd.Base.Life.Hrs]]/OM.Table[[#This Row],[Annual.HOU]],"NA")</f>
        <v>8.8365243004418268</v>
      </c>
      <c r="AA27" s="13">
        <f>NPV(DiscountRate,OM.Table[[#This Row],[Eff.Annual.Cost.Y00.TOS]:[Eff.Annual.Cost.Y20.TOS]])</f>
        <v>0</v>
      </c>
      <c r="AB27"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5.9640331837100113</v>
      </c>
      <c r="AC27" s="13">
        <f>NPV(DiscountRate,OM.Table[[#This Row],[Eff.Annual.Cost.Y00.ER]:[Eff.Annual.Cost.Y20.ER]])</f>
        <v>0</v>
      </c>
      <c r="AD27"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5.9623772866936733</v>
      </c>
      <c r="AE27"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7"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7"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7"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7"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7"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7"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7"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7"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7"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7"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7"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7"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7"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7"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7"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7"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7"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7"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7"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7"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7"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0.13745999999999989</v>
      </c>
      <c r="BA27"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1.18146</v>
      </c>
      <c r="BB27"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1.18146</v>
      </c>
      <c r="BC27"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1.18146</v>
      </c>
      <c r="BD27"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1.18146</v>
      </c>
      <c r="BE27"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1.18146</v>
      </c>
      <c r="BF27"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1.18146</v>
      </c>
      <c r="BG27"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1.18146</v>
      </c>
      <c r="BH27"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1.18146</v>
      </c>
      <c r="BI27"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1.18146</v>
      </c>
      <c r="BJ27"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1.18146</v>
      </c>
      <c r="BK27"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1.18146</v>
      </c>
      <c r="BL27"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1.18146</v>
      </c>
      <c r="BM27"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1.18146</v>
      </c>
      <c r="BN27"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1.18146</v>
      </c>
      <c r="BO27"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1.18146</v>
      </c>
      <c r="BP27"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0.35443800000000081</v>
      </c>
      <c r="BQ27"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7"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7"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7"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7"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27"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27"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27"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27"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27"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0.51824000000000014</v>
      </c>
      <c r="CA27"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0.74237333333333322</v>
      </c>
      <c r="CB27"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0.74237333333333322</v>
      </c>
      <c r="CC27"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0.74237333333333322</v>
      </c>
      <c r="CD27"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0.74237333333333322</v>
      </c>
      <c r="CE27"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0.74237333333333322</v>
      </c>
      <c r="CF27"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0.74237333333333322</v>
      </c>
      <c r="CG27"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0.74237333333333322</v>
      </c>
      <c r="CH27"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0.74237333333333322</v>
      </c>
      <c r="CI27"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0.74237333333333322</v>
      </c>
      <c r="CJ27"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0.74237333333333322</v>
      </c>
      <c r="CK27"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0.22271200000000052</v>
      </c>
      <c r="CL27"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27"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27"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27"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27"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7"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7"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7"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7"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7"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7"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7"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7"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7"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7"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7"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7"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7"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7"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7"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7"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7"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7"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7"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7"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7"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7"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7"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27"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0.87428039999999974</v>
      </c>
      <c r="DO27"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1.18146</v>
      </c>
      <c r="DP27"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1.18146</v>
      </c>
      <c r="DQ27"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1.18146</v>
      </c>
      <c r="DR27"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1.18146</v>
      </c>
      <c r="DS27"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1.18146</v>
      </c>
      <c r="DT27"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1.18146</v>
      </c>
      <c r="DU27"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1.18146</v>
      </c>
      <c r="DV27"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1.18146</v>
      </c>
      <c r="DW27"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1.18146</v>
      </c>
      <c r="DX27"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1.18146</v>
      </c>
      <c r="DY27"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1.18146</v>
      </c>
      <c r="DZ27"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1.18146</v>
      </c>
      <c r="EA27"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0.35443800000000081</v>
      </c>
      <c r="EB27"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7"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7"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7"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7"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27"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v>
      </c>
      <c r="EH27"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v>
      </c>
      <c r="EI27"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0.54935626666666648</v>
      </c>
      <c r="EJ27"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0.74237333333333322</v>
      </c>
      <c r="EK27"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0.74237333333333322</v>
      </c>
      <c r="EL27"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0.74237333333333322</v>
      </c>
      <c r="EM27"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0.74237333333333322</v>
      </c>
      <c r="EN27"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0.74237333333333322</v>
      </c>
      <c r="EO27"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0.74237333333333322</v>
      </c>
      <c r="EP27"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0.74237333333333322</v>
      </c>
      <c r="EQ27"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0.74237333333333322</v>
      </c>
      <c r="ER27"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0.74237333333333322</v>
      </c>
      <c r="ES27"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0.74237333333333322</v>
      </c>
      <c r="ET27"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0.74237333333333322</v>
      </c>
      <c r="EU27"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0.74237333333333322</v>
      </c>
      <c r="EV27"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0.22271200000000052</v>
      </c>
      <c r="EW27"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27"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27"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27"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27" s="96" t="s">
        <v>382</v>
      </c>
    </row>
    <row r="28" spans="1:157" ht="15" x14ac:dyDescent="0.35">
      <c r="A28" s="8" t="s">
        <v>362</v>
      </c>
      <c r="B28" t="s">
        <v>365</v>
      </c>
      <c r="C28" t="s">
        <v>59</v>
      </c>
      <c r="D28" t="s">
        <v>302</v>
      </c>
      <c r="E28" t="s">
        <v>61</v>
      </c>
      <c r="F28" s="46">
        <v>679</v>
      </c>
      <c r="G28" s="118">
        <f ca="1">OM.Table[[#This Row],[PV.Baseline.TOS]]-OM.Table[[#This Row],[PV.Efficient.TOS]]</f>
        <v>4.706919459186202</v>
      </c>
      <c r="H28" s="119">
        <f ca="1">OM.Table[[#This Row],[PV.Baseline.ER]]-OM.Table[[#This Row],[PV.Efficient.ER]]</f>
        <v>3.5556127965770812</v>
      </c>
      <c r="I28" s="47" t="s">
        <v>16</v>
      </c>
      <c r="J28" s="48" t="s">
        <v>16</v>
      </c>
      <c r="K28" s="120" t="str">
        <f>IFERROR(OM.Table[[#This Row],[Eff.Equip.Cost]]+OM.Table[[#This Row],[Eff.Labor.Cost]],"NA")</f>
        <v>NA</v>
      </c>
      <c r="L28" s="48">
        <v>4.2699999999999996</v>
      </c>
      <c r="M28" s="48">
        <v>0</v>
      </c>
      <c r="N28" s="120">
        <f>IFERROR(OM.Table[[#This Row],[Base.Equip.Cost]]+OM.Table[[#This Row],[Base.Labor.Cost]],"NA")</f>
        <v>4.2699999999999996</v>
      </c>
      <c r="O28" s="48">
        <v>6.52</v>
      </c>
      <c r="P28" s="48">
        <v>0</v>
      </c>
      <c r="Q28" s="49">
        <f>IFERROR(OM.Table[[#This Row],[2nd.Base.Equip.Cost]]+OM.Table[[#This Row],[2nd.Base.Labor.Cost]],"NA")</f>
        <v>6.52</v>
      </c>
      <c r="R28" s="50">
        <v>16.3</v>
      </c>
      <c r="S28" s="121">
        <f>OM.Table[[#This Row],[Measure.Life.Yrs]]/3</f>
        <v>5.4333333333333336</v>
      </c>
      <c r="T28" s="7" t="s">
        <v>16</v>
      </c>
      <c r="U28" s="121" t="str">
        <f>IFERROR(OM.Table[[#This Row],[Eff.Life.Hrs]]/OM.Table[[#This Row],[Annual.HOU]],"NA")</f>
        <v>NA</v>
      </c>
      <c r="V28" s="52">
        <v>1000</v>
      </c>
      <c r="W28" s="122">
        <f>IFERROR(OM.Table[[#This Row],[Base.Life.Hrs]]/OM.Table[[#This Row],[Annual.HOU]],"NA")</f>
        <v>1.4727540500736378</v>
      </c>
      <c r="X28" s="91">
        <v>2020</v>
      </c>
      <c r="Y28" s="52">
        <v>10000</v>
      </c>
      <c r="Z28" s="51">
        <f>IFERROR(OM.Table[[#This Row],[2nd.Base.Life.Hrs]]/OM.Table[[#This Row],[Annual.HOU]],"NA")</f>
        <v>14.727540500736376</v>
      </c>
      <c r="AA28" s="13">
        <f>NPV(DiscountRate,OM.Table[[#This Row],[Eff.Annual.Cost.Y00.TOS]:[Eff.Annual.Cost.Y20.TOS]])</f>
        <v>0</v>
      </c>
      <c r="AB28"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4.706919459186202</v>
      </c>
      <c r="AC28" s="13">
        <f>NPV(DiscountRate,OM.Table[[#This Row],[Eff.Annual.Cost.Y00.ER]:[Eff.Annual.Cost.Y20.ER]])</f>
        <v>0</v>
      </c>
      <c r="AD28"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3.5556127965770812</v>
      </c>
      <c r="AE28"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8"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8"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8"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8"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8"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8"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8"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8"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8"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8"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8"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8"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8"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8"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8"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8"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8"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8"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8"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8"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8"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0.33732999999999969</v>
      </c>
      <c r="BA28"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2.8993299999999995</v>
      </c>
      <c r="BB28"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2.8993299999999995</v>
      </c>
      <c r="BC28"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2.8993299999999995</v>
      </c>
      <c r="BD28"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2.8993299999999995</v>
      </c>
      <c r="BE28"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2.8993299999999995</v>
      </c>
      <c r="BF28"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2.8993299999999995</v>
      </c>
      <c r="BG28"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2.8993299999999995</v>
      </c>
      <c r="BH28"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2.8993299999999995</v>
      </c>
      <c r="BI28"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2.8993299999999995</v>
      </c>
      <c r="BJ28"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2.8993299999999995</v>
      </c>
      <c r="BK28"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2.8993299999999995</v>
      </c>
      <c r="BL28"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2.8993299999999995</v>
      </c>
      <c r="BM28"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2.8993299999999995</v>
      </c>
      <c r="BN28"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2.8993299999999995</v>
      </c>
      <c r="BO28"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2.8993299999999995</v>
      </c>
      <c r="BP28"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0.86979900000000188</v>
      </c>
      <c r="BQ28"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8"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8"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8"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8"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28"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28"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28"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28"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28"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28"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28"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28"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7.2372000000000519E-2</v>
      </c>
      <c r="CD28"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0.44270799999999999</v>
      </c>
      <c r="CE28"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0.44270799999999999</v>
      </c>
      <c r="CF28"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0.44270799999999999</v>
      </c>
      <c r="CG28"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0.44270799999999999</v>
      </c>
      <c r="CH28"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0.44270799999999999</v>
      </c>
      <c r="CI28"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0.44270799999999999</v>
      </c>
      <c r="CJ28"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0.44270799999999999</v>
      </c>
      <c r="CK28"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0.1328124000000003</v>
      </c>
      <c r="CL28"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28"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28"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28"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28"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8"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8"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8"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8"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8"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8"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8"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8"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8"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8"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8"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8"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8"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8"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8"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8"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8"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8"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8"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8"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8"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8"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8"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28"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2.1455041999999991</v>
      </c>
      <c r="DO28"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2.8993299999999995</v>
      </c>
      <c r="DP28"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2.8993299999999995</v>
      </c>
      <c r="DQ28"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2.8993299999999995</v>
      </c>
      <c r="DR28"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2.8993299999999995</v>
      </c>
      <c r="DS28"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2.8993299999999995</v>
      </c>
      <c r="DT28"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2.8993299999999995</v>
      </c>
      <c r="DU28"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2.8993299999999995</v>
      </c>
      <c r="DV28"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2.8993299999999995</v>
      </c>
      <c r="DW28"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2.8993299999999995</v>
      </c>
      <c r="DX28"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2.8993299999999995</v>
      </c>
      <c r="DY28"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2.8993299999999995</v>
      </c>
      <c r="DZ28"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2.8993299999999995</v>
      </c>
      <c r="EA28"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0.86979900000000188</v>
      </c>
      <c r="EB28"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8"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8"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8"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8"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28"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v>
      </c>
      <c r="EH28"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v>
      </c>
      <c r="EI28"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0.32760391999999988</v>
      </c>
      <c r="EJ28"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0.44270799999999999</v>
      </c>
      <c r="EK28"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0.44270799999999999</v>
      </c>
      <c r="EL28"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0.44270799999999999</v>
      </c>
      <c r="EM28"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0.44270799999999999</v>
      </c>
      <c r="EN28"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0.44270799999999999</v>
      </c>
      <c r="EO28"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0.44270799999999999</v>
      </c>
      <c r="EP28"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0.44270799999999999</v>
      </c>
      <c r="EQ28"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0.44270799999999999</v>
      </c>
      <c r="ER28"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0.44270799999999999</v>
      </c>
      <c r="ES28"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0.44270799999999999</v>
      </c>
      <c r="ET28"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0.44270799999999999</v>
      </c>
      <c r="EU28"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0.44270799999999999</v>
      </c>
      <c r="EV28"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0.1328124000000003</v>
      </c>
      <c r="EW28"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28"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28"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28"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28" s="96" t="s">
        <v>381</v>
      </c>
    </row>
    <row r="29" spans="1:157" ht="15" x14ac:dyDescent="0.35">
      <c r="A29" s="8" t="s">
        <v>362</v>
      </c>
      <c r="B29" t="s">
        <v>366</v>
      </c>
      <c r="C29" t="s">
        <v>59</v>
      </c>
      <c r="D29" t="s">
        <v>303</v>
      </c>
      <c r="E29" t="s">
        <v>62</v>
      </c>
      <c r="F29" s="46">
        <v>679</v>
      </c>
      <c r="G29" s="118">
        <f ca="1">OM.Table[[#This Row],[PV.Baseline.TOS]]-OM.Table[[#This Row],[PV.Efficient.TOS]]</f>
        <v>5.4746303509542784</v>
      </c>
      <c r="H29" s="119">
        <f ca="1">OM.Table[[#This Row],[PV.Baseline.ER]]-OM.Table[[#This Row],[PV.Efficient.ER]]</f>
        <v>5.4533938597807996</v>
      </c>
      <c r="I29" s="47" t="s">
        <v>16</v>
      </c>
      <c r="J29" s="48" t="s">
        <v>16</v>
      </c>
      <c r="K29" s="120" t="str">
        <f>IFERROR(OM.Table[[#This Row],[Eff.Equip.Cost]]+OM.Table[[#This Row],[Eff.Labor.Cost]],"NA")</f>
        <v>NA</v>
      </c>
      <c r="L29" s="48">
        <v>1.62</v>
      </c>
      <c r="M29" s="48">
        <v>0</v>
      </c>
      <c r="N29" s="120">
        <f>IFERROR(OM.Table[[#This Row],[Base.Equip.Cost]]+OM.Table[[#This Row],[Base.Labor.Cost]],"NA")</f>
        <v>1.62</v>
      </c>
      <c r="O29" s="48">
        <v>6</v>
      </c>
      <c r="P29" s="48">
        <v>0</v>
      </c>
      <c r="Q29" s="49">
        <f>IFERROR(OM.Table[[#This Row],[2nd.Base.Equip.Cost]]+OM.Table[[#This Row],[2nd.Base.Labor.Cost]],"NA")</f>
        <v>6</v>
      </c>
      <c r="R29" s="50">
        <v>16.3</v>
      </c>
      <c r="S29" s="121">
        <f>OM.Table[[#This Row],[Measure.Life.Yrs]]/3</f>
        <v>5.4333333333333336</v>
      </c>
      <c r="T29" s="7" t="s">
        <v>16</v>
      </c>
      <c r="U29" s="121" t="str">
        <f>IFERROR(OM.Table[[#This Row],[Eff.Life.Hrs]]/OM.Table[[#This Row],[Annual.HOU]],"NA")</f>
        <v>NA</v>
      </c>
      <c r="V29" s="52">
        <v>1000</v>
      </c>
      <c r="W29" s="122">
        <f>IFERROR(OM.Table[[#This Row],[Base.Life.Hrs]]/OM.Table[[#This Row],[Annual.HOU]],"NA")</f>
        <v>1.4727540500736378</v>
      </c>
      <c r="X29" s="91">
        <v>2020</v>
      </c>
      <c r="Y29" s="52">
        <v>6000</v>
      </c>
      <c r="Z29" s="51">
        <f>IFERROR(OM.Table[[#This Row],[2nd.Base.Life.Hrs]]/OM.Table[[#This Row],[Annual.HOU]],"NA")</f>
        <v>8.8365243004418268</v>
      </c>
      <c r="AA29" s="13">
        <f>NPV(DiscountRate,OM.Table[[#This Row],[Eff.Annual.Cost.Y00.TOS]:[Eff.Annual.Cost.Y20.TOS]])</f>
        <v>0</v>
      </c>
      <c r="AB29"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5.4746303509542784</v>
      </c>
      <c r="AC29" s="13">
        <f>NPV(DiscountRate,OM.Table[[#This Row],[Eff.Annual.Cost.Y00.ER]:[Eff.Annual.Cost.Y20.ER]])</f>
        <v>0</v>
      </c>
      <c r="AD29"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5.4533938597807996</v>
      </c>
      <c r="AE29"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29"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29"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29"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29"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29"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29"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29"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29"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29"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29"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29"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29"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29"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29"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29"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29"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29"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29"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29"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29"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29"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0.12797999999999993</v>
      </c>
      <c r="BA29"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1.09998</v>
      </c>
      <c r="BB29"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1.09998</v>
      </c>
      <c r="BC29"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1.09998</v>
      </c>
      <c r="BD29"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1.09998</v>
      </c>
      <c r="BE29"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1.09998</v>
      </c>
      <c r="BF29"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1.09998</v>
      </c>
      <c r="BG29"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1.09998</v>
      </c>
      <c r="BH29"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1.09998</v>
      </c>
      <c r="BI29"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1.09998</v>
      </c>
      <c r="BJ29"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1.09998</v>
      </c>
      <c r="BK29"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1.09998</v>
      </c>
      <c r="BL29"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1.09998</v>
      </c>
      <c r="BM29"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1.09998</v>
      </c>
      <c r="BN29"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1.09998</v>
      </c>
      <c r="BO29"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1.09998</v>
      </c>
      <c r="BP29"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0.32999400000000079</v>
      </c>
      <c r="BQ29"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29"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29"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29"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29"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29"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29"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29"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29"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29"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0.47400000000000009</v>
      </c>
      <c r="CA29"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0.67899999999999994</v>
      </c>
      <c r="CB29"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0.67899999999999994</v>
      </c>
      <c r="CC29"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0.67899999999999994</v>
      </c>
      <c r="CD29"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0.67899999999999994</v>
      </c>
      <c r="CE29"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0.67899999999999994</v>
      </c>
      <c r="CF29"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0.67899999999999994</v>
      </c>
      <c r="CG29"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0.67899999999999994</v>
      </c>
      <c r="CH29"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0.67899999999999994</v>
      </c>
      <c r="CI29"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0.67899999999999994</v>
      </c>
      <c r="CJ29"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0.67899999999999994</v>
      </c>
      <c r="CK29"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0.20370000000000046</v>
      </c>
      <c r="CL29"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29"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29"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29"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29"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29"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29" s="56">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29" s="57">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29" s="57">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29" s="57">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29" s="57">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29" s="57">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29" s="57">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29" s="57">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29" s="57">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29" s="57">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29" s="57">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29" s="57">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29" s="57">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29" s="57">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29" s="57">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29" s="57">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29" s="57">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29" s="57">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29" s="57">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29"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29" s="3">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29" s="3">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29" s="3">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0.81398519999999974</v>
      </c>
      <c r="DO29" s="3">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1.09998</v>
      </c>
      <c r="DP29" s="3">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1.09998</v>
      </c>
      <c r="DQ29" s="3">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1.09998</v>
      </c>
      <c r="DR29" s="3">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1.09998</v>
      </c>
      <c r="DS29" s="3">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1.09998</v>
      </c>
      <c r="DT29" s="3">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1.09998</v>
      </c>
      <c r="DU29" s="3">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1.09998</v>
      </c>
      <c r="DV29" s="3">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1.09998</v>
      </c>
      <c r="DW29" s="3">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1.09998</v>
      </c>
      <c r="DX29" s="3">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1.09998</v>
      </c>
      <c r="DY29" s="3">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1.09998</v>
      </c>
      <c r="DZ29" s="3">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1.09998</v>
      </c>
      <c r="EA29" s="3">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0.32999400000000079</v>
      </c>
      <c r="EB29" s="3">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29" s="3">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29" s="3">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29" s="3">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29" s="100">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29" s="100">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v>
      </c>
      <c r="EH29" s="100">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v>
      </c>
      <c r="EI29" s="100">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0.5024599999999998</v>
      </c>
      <c r="EJ29" s="100">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0.67899999999999994</v>
      </c>
      <c r="EK29" s="100">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0.67899999999999994</v>
      </c>
      <c r="EL29" s="100">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0.67899999999999994</v>
      </c>
      <c r="EM29" s="100">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0.67899999999999994</v>
      </c>
      <c r="EN29" s="100">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0.67899999999999994</v>
      </c>
      <c r="EO29" s="100">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0.67899999999999994</v>
      </c>
      <c r="EP29" s="100">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0.67899999999999994</v>
      </c>
      <c r="EQ29" s="100">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0.67899999999999994</v>
      </c>
      <c r="ER29" s="100">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0.67899999999999994</v>
      </c>
      <c r="ES29" s="100">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0.67899999999999994</v>
      </c>
      <c r="ET29" s="100">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0.67899999999999994</v>
      </c>
      <c r="EU29" s="100">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0.67899999999999994</v>
      </c>
      <c r="EV29" s="100">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0.20370000000000046</v>
      </c>
      <c r="EW29" s="100">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29" s="123">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29"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29"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29" s="96" t="s">
        <v>382</v>
      </c>
    </row>
    <row r="30" spans="1:157" ht="15" x14ac:dyDescent="0.35">
      <c r="A30" s="8" t="s">
        <v>362</v>
      </c>
      <c r="B30" t="s">
        <v>367</v>
      </c>
      <c r="C30" t="s">
        <v>59</v>
      </c>
      <c r="D30" t="s">
        <v>304</v>
      </c>
      <c r="E30" t="s">
        <v>63</v>
      </c>
      <c r="F30" s="46">
        <v>679</v>
      </c>
      <c r="G30" s="118">
        <f ca="1">OM.Table[[#This Row],[PV.Baseline.TOS]]-OM.Table[[#This Row],[PV.Efficient.TOS]]</f>
        <v>4.562226304160375</v>
      </c>
      <c r="H30" s="119">
        <f ca="1">OM.Table[[#This Row],[PV.Baseline.ER]]-OM.Table[[#This Row],[PV.Efficient.ER]]</f>
        <v>4.7262746784766936</v>
      </c>
      <c r="I30" s="47" t="s">
        <v>16</v>
      </c>
      <c r="J30" s="48" t="s">
        <v>16</v>
      </c>
      <c r="K30" s="120" t="str">
        <f>IFERROR(OM.Table[[#This Row],[Eff.Equip.Cost]]+OM.Table[[#This Row],[Eff.Labor.Cost]],"NA")</f>
        <v>NA</v>
      </c>
      <c r="L30" s="48">
        <v>1.1399999999999999</v>
      </c>
      <c r="M30" s="48">
        <v>0</v>
      </c>
      <c r="N30" s="120">
        <f>IFERROR(OM.Table[[#This Row],[Base.Equip.Cost]]+OM.Table[[#This Row],[Base.Labor.Cost]],"NA")</f>
        <v>1.1399999999999999</v>
      </c>
      <c r="O30" s="48">
        <v>5.2</v>
      </c>
      <c r="P30" s="48">
        <v>0</v>
      </c>
      <c r="Q30" s="49">
        <f>IFERROR(OM.Table[[#This Row],[2nd.Base.Equip.Cost]]+OM.Table[[#This Row],[2nd.Base.Labor.Cost]],"NA")</f>
        <v>5.2</v>
      </c>
      <c r="R30" s="50">
        <v>16.3</v>
      </c>
      <c r="S30" s="121">
        <f>OM.Table[[#This Row],[Measure.Life.Yrs]]/3</f>
        <v>5.4333333333333336</v>
      </c>
      <c r="T30" s="7" t="s">
        <v>16</v>
      </c>
      <c r="U30" s="121" t="str">
        <f>IFERROR(OM.Table[[#This Row],[Eff.Life.Hrs]]/OM.Table[[#This Row],[Annual.HOU]],"NA")</f>
        <v>NA</v>
      </c>
      <c r="V30" s="52">
        <v>1000</v>
      </c>
      <c r="W30" s="122">
        <f>IFERROR(OM.Table[[#This Row],[Base.Life.Hrs]]/OM.Table[[#This Row],[Annual.HOU]],"NA")</f>
        <v>1.4727540500736378</v>
      </c>
      <c r="X30" s="91">
        <v>2020</v>
      </c>
      <c r="Y30" s="52">
        <v>6000</v>
      </c>
      <c r="Z30" s="51">
        <f>IFERROR(OM.Table[[#This Row],[2nd.Base.Life.Hrs]]/OM.Table[[#This Row],[Annual.HOU]],"NA")</f>
        <v>8.8365243004418268</v>
      </c>
      <c r="AA30" s="13">
        <f>NPV(DiscountRate,OM.Table[[#This Row],[Eff.Annual.Cost.Y00.TOS]:[Eff.Annual.Cost.Y20.TOS]])</f>
        <v>0</v>
      </c>
      <c r="AB30"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4.562226304160375</v>
      </c>
      <c r="AC30" s="13">
        <f>NPV(DiscountRate,OM.Table[[#This Row],[Eff.Annual.Cost.Y00.ER]:[Eff.Annual.Cost.Y20.ER]])</f>
        <v>0</v>
      </c>
      <c r="AD30"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4.7262746784766936</v>
      </c>
      <c r="AE30"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0"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0"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0"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0"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0"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0"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0"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0"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0"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0"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0"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0"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0"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0"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0"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0"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0"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0"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0"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0"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0"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9.0059999999999932E-2</v>
      </c>
      <c r="BA30"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0.77405999999999986</v>
      </c>
      <c r="BB30"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0.77405999999999986</v>
      </c>
      <c r="BC30"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0.77405999999999986</v>
      </c>
      <c r="BD30"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0.77405999999999986</v>
      </c>
      <c r="BE30"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0.77405999999999986</v>
      </c>
      <c r="BF30"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0.77405999999999986</v>
      </c>
      <c r="BG30"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0.77405999999999986</v>
      </c>
      <c r="BH30"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0.77405999999999986</v>
      </c>
      <c r="BI30"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0.77405999999999986</v>
      </c>
      <c r="BJ30"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0.77405999999999986</v>
      </c>
      <c r="BK30"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0.77405999999999986</v>
      </c>
      <c r="BL30"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0.77405999999999986</v>
      </c>
      <c r="BM30"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0.77405999999999986</v>
      </c>
      <c r="BN30"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0.77405999999999986</v>
      </c>
      <c r="BO30"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0.77405999999999986</v>
      </c>
      <c r="BP30"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0.23221800000000054</v>
      </c>
      <c r="BQ30"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0"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0"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0"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0"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0"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30"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30"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0"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0"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0.41080000000000005</v>
      </c>
      <c r="CA30"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0.58846666666666669</v>
      </c>
      <c r="CB30"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0.58846666666666669</v>
      </c>
      <c r="CC30"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0.58846666666666669</v>
      </c>
      <c r="CD30"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0.58846666666666669</v>
      </c>
      <c r="CE30"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0.58846666666666669</v>
      </c>
      <c r="CF30"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0.58846666666666669</v>
      </c>
      <c r="CG30"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0.58846666666666669</v>
      </c>
      <c r="CH30"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0.58846666666666669</v>
      </c>
      <c r="CI30"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0.58846666666666669</v>
      </c>
      <c r="CJ30"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0.58846666666666669</v>
      </c>
      <c r="CK30"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0.17654000000000042</v>
      </c>
      <c r="CL30"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0"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0"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0"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0"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0"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0"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0"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0"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0"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0"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0"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0"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0"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0"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0"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0"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0"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0"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0"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0"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0"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0"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0"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0"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0"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30"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v>
      </c>
      <c r="DM30"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0</v>
      </c>
      <c r="DN30"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0.57280439999999977</v>
      </c>
      <c r="DO30"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0.77405999999999986</v>
      </c>
      <c r="DP30"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0.77405999999999986</v>
      </c>
      <c r="DQ30"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0.77405999999999986</v>
      </c>
      <c r="DR30"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0.77405999999999986</v>
      </c>
      <c r="DS30"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0.77405999999999986</v>
      </c>
      <c r="DT30"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0.77405999999999986</v>
      </c>
      <c r="DU30"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0.77405999999999986</v>
      </c>
      <c r="DV30"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0.77405999999999986</v>
      </c>
      <c r="DW30"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0.77405999999999986</v>
      </c>
      <c r="DX30"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0.77405999999999986</v>
      </c>
      <c r="DY30"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0.77405999999999986</v>
      </c>
      <c r="DZ30"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0.77405999999999986</v>
      </c>
      <c r="EA30"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0.23221800000000054</v>
      </c>
      <c r="EB30"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0"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0"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0"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0"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30"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v>
      </c>
      <c r="EH30"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v>
      </c>
      <c r="EI30"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0.4354653333333332</v>
      </c>
      <c r="EJ30"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0.58846666666666669</v>
      </c>
      <c r="EK30"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0.58846666666666669</v>
      </c>
      <c r="EL30"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0.58846666666666669</v>
      </c>
      <c r="EM30"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0.58846666666666669</v>
      </c>
      <c r="EN30"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0.58846666666666669</v>
      </c>
      <c r="EO30"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0.58846666666666669</v>
      </c>
      <c r="EP30"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0.58846666666666669</v>
      </c>
      <c r="EQ30"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0.58846666666666669</v>
      </c>
      <c r="ER30"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0.58846666666666669</v>
      </c>
      <c r="ES30"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0.58846666666666669</v>
      </c>
      <c r="ET30"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0.58846666666666669</v>
      </c>
      <c r="EU30"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0.58846666666666669</v>
      </c>
      <c r="EV30"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0.17654000000000042</v>
      </c>
      <c r="EW30"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0"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0"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0"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0" s="96" t="s">
        <v>382</v>
      </c>
    </row>
    <row r="31" spans="1:157" ht="15" x14ac:dyDescent="0.35">
      <c r="A31" s="8" t="s">
        <v>362</v>
      </c>
      <c r="B31" t="s">
        <v>368</v>
      </c>
      <c r="C31" t="s">
        <v>59</v>
      </c>
      <c r="D31" t="s">
        <v>300</v>
      </c>
      <c r="E31" t="s">
        <v>60</v>
      </c>
      <c r="F31" s="46">
        <v>5950</v>
      </c>
      <c r="G31" s="118">
        <f ca="1">OM.Table[[#This Row],[PV.Baseline.TOS]]-OM.Table[[#This Row],[PV.Efficient.TOS]]</f>
        <v>18.63832199546485</v>
      </c>
      <c r="H31" s="119">
        <f ca="1">OM.Table[[#This Row],[PV.Baseline.ER]]-OM.Table[[#This Row],[PV.Efficient.ER]]</f>
        <v>14.793083900226753</v>
      </c>
      <c r="I31" s="47" t="s">
        <v>16</v>
      </c>
      <c r="J31" s="48" t="s">
        <v>16</v>
      </c>
      <c r="K31" s="120" t="str">
        <f>IFERROR(OM.Table[[#This Row],[Eff.Equip.Cost]]+OM.Table[[#This Row],[Eff.Labor.Cost]],"NA")</f>
        <v>NA</v>
      </c>
      <c r="L31" s="48">
        <v>1.7</v>
      </c>
      <c r="M31" s="48">
        <v>0</v>
      </c>
      <c r="N31" s="120">
        <f>IFERROR(OM.Table[[#This Row],[Base.Equip.Cost]]+OM.Table[[#This Row],[Base.Labor.Cost]],"NA")</f>
        <v>1.7</v>
      </c>
      <c r="O31" s="48">
        <v>3.12</v>
      </c>
      <c r="P31" s="48">
        <v>0</v>
      </c>
      <c r="Q31" s="49">
        <f>IFERROR(OM.Table[[#This Row],[2nd.Base.Equip.Cost]]+OM.Table[[#This Row],[2nd.Base.Labor.Cost]],"NA")</f>
        <v>3.12</v>
      </c>
      <c r="R31" s="50">
        <v>2.5</v>
      </c>
      <c r="S31" s="121">
        <f>OM.Table[[#This Row],[Measure.Life.Yrs]]/3</f>
        <v>0.83333333333333337</v>
      </c>
      <c r="T31" s="7" t="s">
        <v>16</v>
      </c>
      <c r="U31" s="121" t="str">
        <f>IFERROR(OM.Table[[#This Row],[Eff.Life.Hrs]]/OM.Table[[#This Row],[Annual.HOU]],"NA")</f>
        <v>NA</v>
      </c>
      <c r="V31" s="52">
        <v>1000</v>
      </c>
      <c r="W31" s="122">
        <f>IFERROR(OM.Table[[#This Row],[Base.Life.Hrs]]/OM.Table[[#This Row],[Annual.HOU]],"NA")</f>
        <v>0.16806722689075632</v>
      </c>
      <c r="X31" s="91">
        <v>2020</v>
      </c>
      <c r="Y31" s="52">
        <v>10000</v>
      </c>
      <c r="Z31" s="51">
        <f>IFERROR(OM.Table[[#This Row],[2nd.Base.Life.Hrs]]/OM.Table[[#This Row],[Annual.HOU]],"NA")</f>
        <v>1.680672268907563</v>
      </c>
      <c r="AA31" s="13">
        <f>NPV(DiscountRate,OM.Table[[#This Row],[Eff.Annual.Cost.Y00.TOS]:[Eff.Annual.Cost.Y20.TOS]])</f>
        <v>0</v>
      </c>
      <c r="AB31"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18.63832199546485</v>
      </c>
      <c r="AC31" s="13">
        <f>NPV(DiscountRate,OM.Table[[#This Row],[Eff.Annual.Cost.Y00.ER]:[Eff.Annual.Cost.Y20.ER]])</f>
        <v>0</v>
      </c>
      <c r="AD31"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14.793083900226753</v>
      </c>
      <c r="AE31"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1"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1"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1"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1"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1"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1"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1"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1"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1"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1"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1"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1"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1"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1"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1"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1"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1"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1"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1"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1"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1"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9.0949999999999989</v>
      </c>
      <c r="BA31"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10.114999999999998</v>
      </c>
      <c r="BB31"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5.0574999999999992</v>
      </c>
      <c r="BC31"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31"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31"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31"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31"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31"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31"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31"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1"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1"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1"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1"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1"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1"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1"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1"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1"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1"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1"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1"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1.8408000000000002</v>
      </c>
      <c r="BW31"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0.92820000000000003</v>
      </c>
      <c r="BX31"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1"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1"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31"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31"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31"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31"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31"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1"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1"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1"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1"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1"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1"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1"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1"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1"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1"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1"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1"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1"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1"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1"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1"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1"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1"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1"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1"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1"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1"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1"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1"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1"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1"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1"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1"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1"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1"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1"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1"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5.0574999999999992</v>
      </c>
      <c r="DL31"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10.114999999999998</v>
      </c>
      <c r="DM31"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5.0574999999999992</v>
      </c>
      <c r="DN31"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v>
      </c>
      <c r="DO31"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v>
      </c>
      <c r="DP31"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31"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31"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31"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31"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31"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1"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1"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1"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1"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1"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1"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1"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1"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1"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1"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1"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0.92820000000000003</v>
      </c>
      <c r="EG31"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1.8564000000000001</v>
      </c>
      <c r="EH31"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0.92820000000000003</v>
      </c>
      <c r="EI31"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v>
      </c>
      <c r="EJ31"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v>
      </c>
      <c r="EK31"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31"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31"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31"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31"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31"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1"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1"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1"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1"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1"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1"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1"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1"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1"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1"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1" s="96" t="s">
        <v>381</v>
      </c>
    </row>
    <row r="32" spans="1:157" ht="15" x14ac:dyDescent="0.35">
      <c r="A32" s="8" t="s">
        <v>362</v>
      </c>
      <c r="B32" t="s">
        <v>369</v>
      </c>
      <c r="C32" t="s">
        <v>59</v>
      </c>
      <c r="D32" t="s">
        <v>301</v>
      </c>
      <c r="E32" t="s">
        <v>20</v>
      </c>
      <c r="F32" s="46">
        <v>5950</v>
      </c>
      <c r="G32" s="118">
        <f ca="1">OM.Table[[#This Row],[PV.Baseline.TOS]]-OM.Table[[#This Row],[PV.Efficient.TOS]]</f>
        <v>21.065966238347187</v>
      </c>
      <c r="H32" s="119">
        <f ca="1">OM.Table[[#This Row],[PV.Baseline.ER]]-OM.Table[[#This Row],[PV.Efficient.ER]]</f>
        <v>17.130251952632904</v>
      </c>
      <c r="I32" s="47" t="s">
        <v>16</v>
      </c>
      <c r="J32" s="48" t="s">
        <v>16</v>
      </c>
      <c r="K32" s="120" t="str">
        <f>IFERROR(OM.Table[[#This Row],[Eff.Equip.Cost]]+OM.Table[[#This Row],[Eff.Labor.Cost]],"NA")</f>
        <v>NA</v>
      </c>
      <c r="L32" s="48">
        <v>1.74</v>
      </c>
      <c r="M32" s="48">
        <v>0</v>
      </c>
      <c r="N32" s="120">
        <f>IFERROR(OM.Table[[#This Row],[Base.Equip.Cost]]+OM.Table[[#This Row],[Base.Labor.Cost]],"NA")</f>
        <v>1.74</v>
      </c>
      <c r="O32" s="48">
        <v>6.56</v>
      </c>
      <c r="P32" s="48">
        <v>0</v>
      </c>
      <c r="Q32" s="49">
        <f>IFERROR(OM.Table[[#This Row],[2nd.Base.Equip.Cost]]+OM.Table[[#This Row],[2nd.Base.Labor.Cost]],"NA")</f>
        <v>6.56</v>
      </c>
      <c r="R32" s="50">
        <v>2.5</v>
      </c>
      <c r="S32" s="121">
        <f>OM.Table[[#This Row],[Measure.Life.Yrs]]/3</f>
        <v>0.83333333333333337</v>
      </c>
      <c r="T32" s="7" t="s">
        <v>16</v>
      </c>
      <c r="U32" s="121" t="str">
        <f>IFERROR(OM.Table[[#This Row],[Eff.Life.Hrs]]/OM.Table[[#This Row],[Annual.HOU]],"NA")</f>
        <v>NA</v>
      </c>
      <c r="V32" s="52">
        <v>1000</v>
      </c>
      <c r="W32" s="122">
        <f>IFERROR(OM.Table[[#This Row],[Base.Life.Hrs]]/OM.Table[[#This Row],[Annual.HOU]],"NA")</f>
        <v>0.16806722689075632</v>
      </c>
      <c r="X32" s="91">
        <v>2020</v>
      </c>
      <c r="Y32" s="52">
        <v>6000</v>
      </c>
      <c r="Z32" s="51">
        <f>IFERROR(OM.Table[[#This Row],[2nd.Base.Life.Hrs]]/OM.Table[[#This Row],[Annual.HOU]],"NA")</f>
        <v>1.0084033613445378</v>
      </c>
      <c r="AA32" s="13">
        <f>NPV(DiscountRate,OM.Table[[#This Row],[Eff.Annual.Cost.Y00.TOS]:[Eff.Annual.Cost.Y20.TOS]])</f>
        <v>0</v>
      </c>
      <c r="AB32"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21.065966238347187</v>
      </c>
      <c r="AC32" s="13">
        <f>NPV(DiscountRate,OM.Table[[#This Row],[Eff.Annual.Cost.Y00.ER]:[Eff.Annual.Cost.Y20.ER]])</f>
        <v>0</v>
      </c>
      <c r="AD32"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17.130251952632904</v>
      </c>
      <c r="AE32"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2"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2"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2"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2"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2"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2"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2"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2"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2"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2"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2"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2"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2"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2"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2"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2"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2"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2"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2"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2"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2"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9.3089999999999993</v>
      </c>
      <c r="BA32"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10.353</v>
      </c>
      <c r="BB32"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5.1764999999999999</v>
      </c>
      <c r="BC32"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32"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32"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32"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32"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32"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32"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32"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2"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2"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2"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2"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2"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2"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2"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2"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2"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2"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2"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2.5693333333333332</v>
      </c>
      <c r="BV32"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6.5053333333333327</v>
      </c>
      <c r="BW32"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3.2526666666666664</v>
      </c>
      <c r="BX32"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2"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2"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32"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32"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32"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32"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32"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2"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2"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2"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2"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2"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2"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2"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2"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2"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2"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2"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2"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2"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2"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2"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2"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2"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2"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2"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2"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2"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2"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2"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2"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2"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2"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2"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2"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2"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2"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2"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2"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5.1764999999999999</v>
      </c>
      <c r="DL32"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10.353</v>
      </c>
      <c r="DM32"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5.1764999999999999</v>
      </c>
      <c r="DN32"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v>
      </c>
      <c r="DO32"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v>
      </c>
      <c r="DP32"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32"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32"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32"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32"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32"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2"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2"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2"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2"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2"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2"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2"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2"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2"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2"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2"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3.2526666666666664</v>
      </c>
      <c r="EG32"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6.5053333333333327</v>
      </c>
      <c r="EH32"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3.2526666666666664</v>
      </c>
      <c r="EI32"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v>
      </c>
      <c r="EJ32"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v>
      </c>
      <c r="EK32"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32"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32"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32"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32"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32"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2"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2"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2"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2"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2"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2"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2"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2"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2"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2"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2" s="96" t="s">
        <v>382</v>
      </c>
    </row>
    <row r="33" spans="1:157" ht="15" x14ac:dyDescent="0.35">
      <c r="A33" s="8" t="s">
        <v>362</v>
      </c>
      <c r="B33" t="s">
        <v>370</v>
      </c>
      <c r="C33" t="s">
        <v>59</v>
      </c>
      <c r="D33" t="s">
        <v>302</v>
      </c>
      <c r="E33" t="s">
        <v>61</v>
      </c>
      <c r="F33" s="46">
        <v>5950</v>
      </c>
      <c r="G33" s="118">
        <f ca="1">OM.Table[[#This Row],[PV.Baseline.TOS]]-OM.Table[[#This Row],[PV.Efficient.TOS]]</f>
        <v>46.476696900982603</v>
      </c>
      <c r="H33" s="119">
        <f ca="1">OM.Table[[#This Row],[PV.Baseline.ER]]-OM.Table[[#This Row],[PV.Efficient.ER]]</f>
        <v>36.818363567649271</v>
      </c>
      <c r="I33" s="47" t="s">
        <v>16</v>
      </c>
      <c r="J33" s="48" t="s">
        <v>16</v>
      </c>
      <c r="K33" s="120" t="str">
        <f>IFERROR(OM.Table[[#This Row],[Eff.Equip.Cost]]+OM.Table[[#This Row],[Eff.Labor.Cost]],"NA")</f>
        <v>NA</v>
      </c>
      <c r="L33" s="48">
        <v>4.2699999999999996</v>
      </c>
      <c r="M33" s="48">
        <v>0</v>
      </c>
      <c r="N33" s="120">
        <f>IFERROR(OM.Table[[#This Row],[Base.Equip.Cost]]+OM.Table[[#This Row],[Base.Labor.Cost]],"NA")</f>
        <v>4.2699999999999996</v>
      </c>
      <c r="O33" s="48">
        <v>6.52</v>
      </c>
      <c r="P33" s="48">
        <v>0</v>
      </c>
      <c r="Q33" s="49">
        <f>IFERROR(OM.Table[[#This Row],[2nd.Base.Equip.Cost]]+OM.Table[[#This Row],[2nd.Base.Labor.Cost]],"NA")</f>
        <v>6.52</v>
      </c>
      <c r="R33" s="50">
        <v>2.5</v>
      </c>
      <c r="S33" s="121">
        <f>OM.Table[[#This Row],[Measure.Life.Yrs]]/3</f>
        <v>0.83333333333333337</v>
      </c>
      <c r="T33" s="7" t="s">
        <v>16</v>
      </c>
      <c r="U33" s="121" t="str">
        <f>IFERROR(OM.Table[[#This Row],[Eff.Life.Hrs]]/OM.Table[[#This Row],[Annual.HOU]],"NA")</f>
        <v>NA</v>
      </c>
      <c r="V33" s="52">
        <v>1000</v>
      </c>
      <c r="W33" s="122">
        <f>IFERROR(OM.Table[[#This Row],[Base.Life.Hrs]]/OM.Table[[#This Row],[Annual.HOU]],"NA")</f>
        <v>0.16806722689075632</v>
      </c>
      <c r="X33" s="91">
        <v>2020</v>
      </c>
      <c r="Y33" s="52">
        <v>10000</v>
      </c>
      <c r="Z33" s="51">
        <f>IFERROR(OM.Table[[#This Row],[2nd.Base.Life.Hrs]]/OM.Table[[#This Row],[Annual.HOU]],"NA")</f>
        <v>1.680672268907563</v>
      </c>
      <c r="AA33" s="13">
        <f>NPV(DiscountRate,OM.Table[[#This Row],[Eff.Annual.Cost.Y00.TOS]:[Eff.Annual.Cost.Y20.TOS]])</f>
        <v>0</v>
      </c>
      <c r="AB33"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46.476696900982603</v>
      </c>
      <c r="AC33" s="13">
        <f>NPV(DiscountRate,OM.Table[[#This Row],[Eff.Annual.Cost.Y00.ER]:[Eff.Annual.Cost.Y20.ER]])</f>
        <v>0</v>
      </c>
      <c r="AD33"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36.818363567649271</v>
      </c>
      <c r="AE33"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3"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3"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3"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3"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3"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3"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3"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3"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3"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3"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3"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3"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3"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3"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3"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3"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3"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3"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3"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3"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3"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22.844499999999996</v>
      </c>
      <c r="BA33"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25.406499999999994</v>
      </c>
      <c r="BB33"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12.703249999999997</v>
      </c>
      <c r="BC33"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33"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33"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33"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33"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33"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33"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33"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3"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3"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3"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3"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3"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3"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3"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3"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3"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3"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3"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3"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3.8467999999999996</v>
      </c>
      <c r="BW33"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1.9396999999999998</v>
      </c>
      <c r="BX33"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3"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3"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33"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33"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33"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33"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33"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3"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3"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3"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3"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3"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3"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3"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3"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3"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3"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3"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3"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3"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3"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3"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3"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3"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3"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3"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3"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3"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3"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3"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3"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3"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3"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3"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3"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3"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3"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3"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3"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12.703249999999997</v>
      </c>
      <c r="DL33"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25.406499999999994</v>
      </c>
      <c r="DM33"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12.703249999999997</v>
      </c>
      <c r="DN33"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v>
      </c>
      <c r="DO33"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v>
      </c>
      <c r="DP33"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33"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33"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33"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33"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33"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3"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3"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3"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3"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3"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3"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3"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3"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3"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3"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3"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1.9396999999999998</v>
      </c>
      <c r="EG33"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3.8793999999999995</v>
      </c>
      <c r="EH33"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1.9396999999999998</v>
      </c>
      <c r="EI33"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v>
      </c>
      <c r="EJ33"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v>
      </c>
      <c r="EK33"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33"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33"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33"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33"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33"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3"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3"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3"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3"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3"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3"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3"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3"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3"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3"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3" s="96" t="s">
        <v>381</v>
      </c>
    </row>
    <row r="34" spans="1:157" ht="15" x14ac:dyDescent="0.35">
      <c r="A34" s="8" t="s">
        <v>362</v>
      </c>
      <c r="B34" t="s">
        <v>371</v>
      </c>
      <c r="C34" t="s">
        <v>59</v>
      </c>
      <c r="D34" t="s">
        <v>303</v>
      </c>
      <c r="E34" t="s">
        <v>62</v>
      </c>
      <c r="F34" s="46">
        <v>5950</v>
      </c>
      <c r="G34" s="118">
        <f ca="1">OM.Table[[#This Row],[PV.Baseline.TOS]]-OM.Table[[#This Row],[PV.Efficient.TOS]]</f>
        <v>19.567059712774</v>
      </c>
      <c r="H34" s="119">
        <f ca="1">OM.Table[[#This Row],[PV.Baseline.ER]]-OM.Table[[#This Row],[PV.Efficient.ER]]</f>
        <v>15.902773998488282</v>
      </c>
      <c r="I34" s="47" t="s">
        <v>16</v>
      </c>
      <c r="J34" s="48" t="s">
        <v>16</v>
      </c>
      <c r="K34" s="120" t="str">
        <f>IFERROR(OM.Table[[#This Row],[Eff.Equip.Cost]]+OM.Table[[#This Row],[Eff.Labor.Cost]],"NA")</f>
        <v>NA</v>
      </c>
      <c r="L34" s="48">
        <v>1.62</v>
      </c>
      <c r="M34" s="48">
        <v>0</v>
      </c>
      <c r="N34" s="120">
        <f>IFERROR(OM.Table[[#This Row],[Base.Equip.Cost]]+OM.Table[[#This Row],[Base.Labor.Cost]],"NA")</f>
        <v>1.62</v>
      </c>
      <c r="O34" s="48">
        <v>6</v>
      </c>
      <c r="P34" s="48">
        <v>0</v>
      </c>
      <c r="Q34" s="49">
        <f>IFERROR(OM.Table[[#This Row],[2nd.Base.Equip.Cost]]+OM.Table[[#This Row],[2nd.Base.Labor.Cost]],"NA")</f>
        <v>6</v>
      </c>
      <c r="R34" s="50">
        <v>2.5</v>
      </c>
      <c r="S34" s="121">
        <f>OM.Table[[#This Row],[Measure.Life.Yrs]]/3</f>
        <v>0.83333333333333337</v>
      </c>
      <c r="T34" s="7" t="s">
        <v>16</v>
      </c>
      <c r="U34" s="121" t="str">
        <f>IFERROR(OM.Table[[#This Row],[Eff.Life.Hrs]]/OM.Table[[#This Row],[Annual.HOU]],"NA")</f>
        <v>NA</v>
      </c>
      <c r="V34" s="52">
        <v>1000</v>
      </c>
      <c r="W34" s="122">
        <f>IFERROR(OM.Table[[#This Row],[Base.Life.Hrs]]/OM.Table[[#This Row],[Annual.HOU]],"NA")</f>
        <v>0.16806722689075632</v>
      </c>
      <c r="X34" s="91">
        <v>2020</v>
      </c>
      <c r="Y34" s="52">
        <v>6000</v>
      </c>
      <c r="Z34" s="51">
        <f>IFERROR(OM.Table[[#This Row],[2nd.Base.Life.Hrs]]/OM.Table[[#This Row],[Annual.HOU]],"NA")</f>
        <v>1.0084033613445378</v>
      </c>
      <c r="AA34" s="13">
        <f>NPV(DiscountRate,OM.Table[[#This Row],[Eff.Annual.Cost.Y00.TOS]:[Eff.Annual.Cost.Y20.TOS]])</f>
        <v>0</v>
      </c>
      <c r="AB34"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19.567059712774</v>
      </c>
      <c r="AC34" s="13">
        <f>NPV(DiscountRate,OM.Table[[#This Row],[Eff.Annual.Cost.Y00.ER]:[Eff.Annual.Cost.Y20.ER]])</f>
        <v>0</v>
      </c>
      <c r="AD34"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15.902773998488282</v>
      </c>
      <c r="AE34"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4"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4"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4"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4"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4"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4"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4"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4"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4"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4"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4"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4"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4"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4"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4"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4"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4"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4"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4"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4"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4"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8.6669999999999998</v>
      </c>
      <c r="BA34"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9.6389999999999993</v>
      </c>
      <c r="BB34"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4.8194999999999997</v>
      </c>
      <c r="BC34"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34"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34"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34"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34"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34"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34"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34"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4"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4"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4"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4"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4"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4"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4"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4"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4"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4"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4"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2.3500000000000005</v>
      </c>
      <c r="BV34"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5.95</v>
      </c>
      <c r="BW34"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2.9750000000000001</v>
      </c>
      <c r="BX34"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4"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4"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34"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34"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34"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34"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34"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4"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4"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4"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4"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4"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4"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4"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4"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4"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4"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4"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4"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4"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4"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4"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4"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4"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4"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4"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4"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4"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4"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4"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4"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4"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4"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4"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4"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4"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4"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4"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4"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4.8194999999999997</v>
      </c>
      <c r="DL34"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9.6389999999999993</v>
      </c>
      <c r="DM34"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4.8194999999999997</v>
      </c>
      <c r="DN34"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v>
      </c>
      <c r="DO34"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v>
      </c>
      <c r="DP34"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34"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34"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34"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34"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34"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4"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4"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4"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4"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4"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4"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4"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4"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4"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4"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4"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2.9750000000000001</v>
      </c>
      <c r="EG34"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5.95</v>
      </c>
      <c r="EH34"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2.9750000000000001</v>
      </c>
      <c r="EI34"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v>
      </c>
      <c r="EJ34"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v>
      </c>
      <c r="EK34"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34"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34"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34"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34"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34"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4"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4"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4"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4"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4"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4"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4"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4"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4"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4"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4" s="96" t="s">
        <v>382</v>
      </c>
    </row>
    <row r="35" spans="1:157" ht="15" x14ac:dyDescent="0.35">
      <c r="A35" s="8" t="s">
        <v>362</v>
      </c>
      <c r="B35" t="s">
        <v>372</v>
      </c>
      <c r="C35" t="s">
        <v>59</v>
      </c>
      <c r="D35" t="s">
        <v>304</v>
      </c>
      <c r="E35" t="s">
        <v>63</v>
      </c>
      <c r="F35" s="46">
        <v>5950</v>
      </c>
      <c r="G35" s="118">
        <f ca="1">OM.Table[[#This Row],[PV.Baseline.TOS]]-OM.Table[[#This Row],[PV.Efficient.TOS]]</f>
        <v>14.188213655832701</v>
      </c>
      <c r="H35" s="119">
        <f ca="1">OM.Table[[#This Row],[PV.Baseline.ER]]-OM.Table[[#This Row],[PV.Efficient.ER]]</f>
        <v>11.609642227261272</v>
      </c>
      <c r="I35" s="47" t="s">
        <v>16</v>
      </c>
      <c r="J35" s="48" t="s">
        <v>16</v>
      </c>
      <c r="K35" s="120" t="str">
        <f>IFERROR(OM.Table[[#This Row],[Eff.Equip.Cost]]+OM.Table[[#This Row],[Eff.Labor.Cost]],"NA")</f>
        <v>NA</v>
      </c>
      <c r="L35" s="48">
        <v>1.1399999999999999</v>
      </c>
      <c r="M35" s="48">
        <v>0</v>
      </c>
      <c r="N35" s="120">
        <f>IFERROR(OM.Table[[#This Row],[Base.Equip.Cost]]+OM.Table[[#This Row],[Base.Labor.Cost]],"NA")</f>
        <v>1.1399999999999999</v>
      </c>
      <c r="O35" s="48">
        <v>5.2</v>
      </c>
      <c r="P35" s="48">
        <v>0</v>
      </c>
      <c r="Q35" s="49">
        <f>IFERROR(OM.Table[[#This Row],[2nd.Base.Equip.Cost]]+OM.Table[[#This Row],[2nd.Base.Labor.Cost]],"NA")</f>
        <v>5.2</v>
      </c>
      <c r="R35" s="50">
        <v>2.5</v>
      </c>
      <c r="S35" s="121">
        <f>OM.Table[[#This Row],[Measure.Life.Yrs]]/3</f>
        <v>0.83333333333333337</v>
      </c>
      <c r="T35" s="7" t="s">
        <v>16</v>
      </c>
      <c r="U35" s="121" t="str">
        <f>IFERROR(OM.Table[[#This Row],[Eff.Life.Hrs]]/OM.Table[[#This Row],[Annual.HOU]],"NA")</f>
        <v>NA</v>
      </c>
      <c r="V35" s="52">
        <v>1000</v>
      </c>
      <c r="W35" s="122">
        <f>IFERROR(OM.Table[[#This Row],[Base.Life.Hrs]]/OM.Table[[#This Row],[Annual.HOU]],"NA")</f>
        <v>0.16806722689075632</v>
      </c>
      <c r="X35" s="91">
        <v>2020</v>
      </c>
      <c r="Y35" s="52">
        <v>6000</v>
      </c>
      <c r="Z35" s="51">
        <f>IFERROR(OM.Table[[#This Row],[2nd.Base.Life.Hrs]]/OM.Table[[#This Row],[Annual.HOU]],"NA")</f>
        <v>1.0084033613445378</v>
      </c>
      <c r="AA35" s="13">
        <f>NPV(DiscountRate,OM.Table[[#This Row],[Eff.Annual.Cost.Y00.TOS]:[Eff.Annual.Cost.Y20.TOS]])</f>
        <v>0</v>
      </c>
      <c r="AB35"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14.188213655832701</v>
      </c>
      <c r="AC35" s="13">
        <f>NPV(DiscountRate,OM.Table[[#This Row],[Eff.Annual.Cost.Y00.ER]:[Eff.Annual.Cost.Y20.ER]])</f>
        <v>0</v>
      </c>
      <c r="AD35"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11.609642227261272</v>
      </c>
      <c r="AE35"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5"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5"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5"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5"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5"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5"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5"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5"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5"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5"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5"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5"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5"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5"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5"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5"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5"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5"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5"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5"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5"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6.0989999999999993</v>
      </c>
      <c r="BA35"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6.7829999999999986</v>
      </c>
      <c r="BB35"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3.3914999999999993</v>
      </c>
      <c r="BC35"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0</v>
      </c>
      <c r="BD35"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0</v>
      </c>
      <c r="BE35"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0</v>
      </c>
      <c r="BF35"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0</v>
      </c>
      <c r="BG35"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0</v>
      </c>
      <c r="BH35"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0</v>
      </c>
      <c r="BI35"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v>
      </c>
      <c r="BJ35"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5"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5"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5"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5"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5"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5"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5"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5"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5"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5"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5"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2.0366666666666671</v>
      </c>
      <c r="BV35"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5.1566666666666672</v>
      </c>
      <c r="BW35"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2.5783333333333336</v>
      </c>
      <c r="BX35"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v>
      </c>
      <c r="BY35"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v>
      </c>
      <c r="BZ35"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v>
      </c>
      <c r="CA35"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v>
      </c>
      <c r="CB35"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v>
      </c>
      <c r="CC35"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v>
      </c>
      <c r="CD35"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v>
      </c>
      <c r="CE35"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5"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5"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5"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5"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5"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5"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5"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5"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5"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5"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5"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5"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5"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5"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5"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5"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5"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5"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5"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5"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5"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5"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5"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5"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5"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5"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5"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5"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5"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5"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5"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5"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3.3914999999999993</v>
      </c>
      <c r="DL35"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6.7829999999999986</v>
      </c>
      <c r="DM35"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3.3914999999999993</v>
      </c>
      <c r="DN35"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0</v>
      </c>
      <c r="DO35"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0</v>
      </c>
      <c r="DP35"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0</v>
      </c>
      <c r="DQ35"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0</v>
      </c>
      <c r="DR35"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0</v>
      </c>
      <c r="DS35"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0</v>
      </c>
      <c r="DT35"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v>
      </c>
      <c r="DU35"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5"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5"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5"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5"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5"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5"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5"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5"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5"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5"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5"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2.5783333333333336</v>
      </c>
      <c r="EG35"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5.1566666666666672</v>
      </c>
      <c r="EH35"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2.5783333333333336</v>
      </c>
      <c r="EI35"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v>
      </c>
      <c r="EJ35"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v>
      </c>
      <c r="EK35"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v>
      </c>
      <c r="EL35"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v>
      </c>
      <c r="EM35"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v>
      </c>
      <c r="EN35"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v>
      </c>
      <c r="EO35"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v>
      </c>
      <c r="EP35"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5"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5"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5"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5"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5"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5"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5"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5"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5"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5"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5" s="96" t="s">
        <v>382</v>
      </c>
    </row>
    <row r="36" spans="1:157" ht="15" x14ac:dyDescent="0.35">
      <c r="A36" s="8" t="s">
        <v>362</v>
      </c>
      <c r="B36" t="s">
        <v>373</v>
      </c>
      <c r="C36" t="s">
        <v>59</v>
      </c>
      <c r="D36" t="s">
        <v>300</v>
      </c>
      <c r="E36" t="s">
        <v>60</v>
      </c>
      <c r="F36" s="46">
        <v>1643</v>
      </c>
      <c r="G36" s="118">
        <f ca="1">OM.Table[[#This Row],[PV.Baseline.TOS]]-OM.Table[[#This Row],[PV.Efficient.TOS]]</f>
        <v>6.2262558054870674</v>
      </c>
      <c r="H36" s="119">
        <f ca="1">OM.Table[[#This Row],[PV.Baseline.ER]]-OM.Table[[#This Row],[PV.Efficient.ER]]</f>
        <v>3.1779060808353026</v>
      </c>
      <c r="I36" s="47" t="s">
        <v>16</v>
      </c>
      <c r="J36" s="48" t="s">
        <v>16</v>
      </c>
      <c r="K36" s="120" t="str">
        <f>IFERROR(OM.Table[[#This Row],[Eff.Equip.Cost]]+OM.Table[[#This Row],[Eff.Labor.Cost]],"NA")</f>
        <v>NA</v>
      </c>
      <c r="L36" s="48">
        <v>1.7</v>
      </c>
      <c r="M36" s="48">
        <v>0</v>
      </c>
      <c r="N36" s="120">
        <f>IFERROR(OM.Table[[#This Row],[Base.Equip.Cost]]+OM.Table[[#This Row],[Base.Labor.Cost]],"NA")</f>
        <v>1.7</v>
      </c>
      <c r="O36" s="48">
        <v>3.12</v>
      </c>
      <c r="P36" s="48">
        <v>0</v>
      </c>
      <c r="Q36" s="49">
        <f>IFERROR(OM.Table[[#This Row],[2nd.Base.Equip.Cost]]+OM.Table[[#This Row],[2nd.Base.Labor.Cost]],"NA")</f>
        <v>3.12</v>
      </c>
      <c r="R36" s="50">
        <v>9.1</v>
      </c>
      <c r="S36" s="121">
        <f>OM.Table[[#This Row],[Measure.Life.Yrs]]/3</f>
        <v>3.0333333333333332</v>
      </c>
      <c r="T36" s="7" t="s">
        <v>16</v>
      </c>
      <c r="U36" s="121" t="str">
        <f>IFERROR(OM.Table[[#This Row],[Eff.Life.Hrs]]/OM.Table[[#This Row],[Annual.HOU]],"NA")</f>
        <v>NA</v>
      </c>
      <c r="V36" s="52">
        <v>1000</v>
      </c>
      <c r="W36" s="122">
        <f>IFERROR(OM.Table[[#This Row],[Base.Life.Hrs]]/OM.Table[[#This Row],[Annual.HOU]],"NA")</f>
        <v>0.60864272671941566</v>
      </c>
      <c r="X36" s="91">
        <v>2020</v>
      </c>
      <c r="Y36" s="52">
        <v>10000</v>
      </c>
      <c r="Z36" s="51">
        <f>IFERROR(OM.Table[[#This Row],[2nd.Base.Life.Hrs]]/OM.Table[[#This Row],[Annual.HOU]],"NA")</f>
        <v>6.0864272671941571</v>
      </c>
      <c r="AA36" s="13">
        <f>NPV(DiscountRate,OM.Table[[#This Row],[Eff.Annual.Cost.Y00.TOS]:[Eff.Annual.Cost.Y20.TOS]])</f>
        <v>0</v>
      </c>
      <c r="AB36"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6.2262558054870674</v>
      </c>
      <c r="AC36" s="13">
        <f>NPV(DiscountRate,OM.Table[[#This Row],[Eff.Annual.Cost.Y00.ER]:[Eff.Annual.Cost.Y20.ER]])</f>
        <v>0</v>
      </c>
      <c r="AD36"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3.1779060808353026</v>
      </c>
      <c r="AE36"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6"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6"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6"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6"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6"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6"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6"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6"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6"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6"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6"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6"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6"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6"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6"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6"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6"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6"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6"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6"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6"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1.7730999999999999</v>
      </c>
      <c r="BA36"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2.7930999999999999</v>
      </c>
      <c r="BB36"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2.7930999999999999</v>
      </c>
      <c r="BC36"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2.7930999999999999</v>
      </c>
      <c r="BD36"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2.7930999999999999</v>
      </c>
      <c r="BE36"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2.7930999999999999</v>
      </c>
      <c r="BF36"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2.7930999999999999</v>
      </c>
      <c r="BG36"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2.7930999999999999</v>
      </c>
      <c r="BH36"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2.7930999999999999</v>
      </c>
      <c r="BI36"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0.27930999999999906</v>
      </c>
      <c r="BJ36"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6"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6"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6"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6"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6"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6"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6"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6"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6"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6"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6"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6"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36"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36"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0.17846400000000015</v>
      </c>
      <c r="BY36"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0.51261599999999996</v>
      </c>
      <c r="BZ36"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0.51261599999999996</v>
      </c>
      <c r="CA36"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0.51261599999999996</v>
      </c>
      <c r="CB36"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0.51261599999999996</v>
      </c>
      <c r="CC36"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0.51261599999999996</v>
      </c>
      <c r="CD36"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5.1261599999999817E-2</v>
      </c>
      <c r="CE36"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6"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6"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6"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6"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6"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6"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6"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6"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6"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6"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6"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6"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6"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6"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6"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6"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6"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6"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6"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6"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6"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6"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6"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6"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6"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6"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6"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6"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6"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6"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6"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6"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36"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0.50275800000000048</v>
      </c>
      <c r="DM36"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2.7930999999999999</v>
      </c>
      <c r="DN36"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2.7930999999999999</v>
      </c>
      <c r="DO36"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2.7930999999999999</v>
      </c>
      <c r="DP36"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2.7930999999999999</v>
      </c>
      <c r="DQ36"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2.7930999999999999</v>
      </c>
      <c r="DR36"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2.7930999999999999</v>
      </c>
      <c r="DS36"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2.7930999999999999</v>
      </c>
      <c r="DT36"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0.27930999999999906</v>
      </c>
      <c r="DU36"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6"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6"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6"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6"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6"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6"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6"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6"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6"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6"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6"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36"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9.2270880000000083E-2</v>
      </c>
      <c r="EH36"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0.51261599999999996</v>
      </c>
      <c r="EI36"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0.51261599999999996</v>
      </c>
      <c r="EJ36"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0.51261599999999996</v>
      </c>
      <c r="EK36"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0.51261599999999996</v>
      </c>
      <c r="EL36"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0.51261599999999996</v>
      </c>
      <c r="EM36"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0.51261599999999996</v>
      </c>
      <c r="EN36"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0.51261599999999996</v>
      </c>
      <c r="EO36"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5.1261599999999817E-2</v>
      </c>
      <c r="EP36"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6"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6"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6"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6"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6"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6"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6"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6"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6"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6"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6" s="96" t="s">
        <v>381</v>
      </c>
    </row>
    <row r="37" spans="1:157" ht="15" x14ac:dyDescent="0.35">
      <c r="A37" s="8" t="s">
        <v>362</v>
      </c>
      <c r="B37" t="s">
        <v>374</v>
      </c>
      <c r="C37" t="s">
        <v>59</v>
      </c>
      <c r="D37" t="s">
        <v>301</v>
      </c>
      <c r="E37" t="s">
        <v>20</v>
      </c>
      <c r="F37" s="46">
        <v>1643</v>
      </c>
      <c r="G37" s="118">
        <f ca="1">OM.Table[[#This Row],[PV.Baseline.TOS]]-OM.Table[[#This Row],[PV.Efficient.TOS]]</f>
        <v>13.563118954675707</v>
      </c>
      <c r="H37" s="119">
        <f ca="1">OM.Table[[#This Row],[PV.Baseline.ER]]-OM.Table[[#This Row],[PV.Efficient.ER]]</f>
        <v>10.004992270012423</v>
      </c>
      <c r="I37" s="47" t="s">
        <v>16</v>
      </c>
      <c r="J37" s="48" t="s">
        <v>16</v>
      </c>
      <c r="K37" s="120" t="str">
        <f>IFERROR(OM.Table[[#This Row],[Eff.Equip.Cost]]+OM.Table[[#This Row],[Eff.Labor.Cost]],"NA")</f>
        <v>NA</v>
      </c>
      <c r="L37" s="48">
        <v>1.74</v>
      </c>
      <c r="M37" s="48">
        <v>0</v>
      </c>
      <c r="N37" s="120">
        <f>IFERROR(OM.Table[[#This Row],[Base.Equip.Cost]]+OM.Table[[#This Row],[Base.Labor.Cost]],"NA")</f>
        <v>1.74</v>
      </c>
      <c r="O37" s="48">
        <v>6.56</v>
      </c>
      <c r="P37" s="48">
        <v>0</v>
      </c>
      <c r="Q37" s="49">
        <f>IFERROR(OM.Table[[#This Row],[2nd.Base.Equip.Cost]]+OM.Table[[#This Row],[2nd.Base.Labor.Cost]],"NA")</f>
        <v>6.56</v>
      </c>
      <c r="R37" s="50">
        <v>9.1</v>
      </c>
      <c r="S37" s="121">
        <f>OM.Table[[#This Row],[Measure.Life.Yrs]]/3</f>
        <v>3.0333333333333332</v>
      </c>
      <c r="T37" s="7" t="s">
        <v>16</v>
      </c>
      <c r="U37" s="121" t="str">
        <f>IFERROR(OM.Table[[#This Row],[Eff.Life.Hrs]]/OM.Table[[#This Row],[Annual.HOU]],"NA")</f>
        <v>NA</v>
      </c>
      <c r="V37" s="52">
        <v>1000</v>
      </c>
      <c r="W37" s="122">
        <f>IFERROR(OM.Table[[#This Row],[Base.Life.Hrs]]/OM.Table[[#This Row],[Annual.HOU]],"NA")</f>
        <v>0.60864272671941566</v>
      </c>
      <c r="X37" s="91">
        <v>2020</v>
      </c>
      <c r="Y37" s="52">
        <v>6000</v>
      </c>
      <c r="Z37" s="51">
        <f>IFERROR(OM.Table[[#This Row],[2nd.Base.Life.Hrs]]/OM.Table[[#This Row],[Annual.HOU]],"NA")</f>
        <v>3.6518563603164944</v>
      </c>
      <c r="AA37" s="13">
        <f>NPV(DiscountRate,OM.Table[[#This Row],[Eff.Annual.Cost.Y00.TOS]:[Eff.Annual.Cost.Y20.TOS]])</f>
        <v>0</v>
      </c>
      <c r="AB37"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13.563118954675707</v>
      </c>
      <c r="AC37" s="13">
        <f>NPV(DiscountRate,OM.Table[[#This Row],[Eff.Annual.Cost.Y00.ER]:[Eff.Annual.Cost.Y20.ER]])</f>
        <v>0</v>
      </c>
      <c r="AD37"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10.004992270012423</v>
      </c>
      <c r="AE37"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7"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7"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7"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7"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7"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7"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7"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7"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7"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7"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7"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7"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7"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7"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7"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7"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7"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7"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7"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7"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7"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1.8148199999999999</v>
      </c>
      <c r="BA37"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2.8588200000000001</v>
      </c>
      <c r="BB37"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2.8588200000000001</v>
      </c>
      <c r="BC37"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2.8588200000000001</v>
      </c>
      <c r="BD37"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2.8588200000000001</v>
      </c>
      <c r="BE37"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2.8588200000000001</v>
      </c>
      <c r="BF37"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2.8588200000000001</v>
      </c>
      <c r="BG37"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2.8588200000000001</v>
      </c>
      <c r="BH37"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2.8588200000000001</v>
      </c>
      <c r="BI37"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0.28588199999999897</v>
      </c>
      <c r="BJ37"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7"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7"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7"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7"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7"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7"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7"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7"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7"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7"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7"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7"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37"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1.4530399999999997</v>
      </c>
      <c r="BX37"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1.7963466666666665</v>
      </c>
      <c r="BY37"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1.7963466666666665</v>
      </c>
      <c r="BZ37"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1.7963466666666665</v>
      </c>
      <c r="CA37"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1.7963466666666665</v>
      </c>
      <c r="CB37"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1.7963466666666665</v>
      </c>
      <c r="CC37"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1.7963466666666665</v>
      </c>
      <c r="CD37"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0.179634666666666</v>
      </c>
      <c r="CE37"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7"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7"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7"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7"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7"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7"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7"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7"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7"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7"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7"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7"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7"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7"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7"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7"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7"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7"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7"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7"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7"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7"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7"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7"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7"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7"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7"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7"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7"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7"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7"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7"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37"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0.51458760000000048</v>
      </c>
      <c r="DM37"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2.8588200000000001</v>
      </c>
      <c r="DN37"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2.8588200000000001</v>
      </c>
      <c r="DO37"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2.8588200000000001</v>
      </c>
      <c r="DP37"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2.8588200000000001</v>
      </c>
      <c r="DQ37"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2.8588200000000001</v>
      </c>
      <c r="DR37"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2.8588200000000001</v>
      </c>
      <c r="DS37"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2.8588200000000001</v>
      </c>
      <c r="DT37"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0.28588199999999897</v>
      </c>
      <c r="DU37"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7"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7"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7"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7"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7"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7"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7"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7"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7"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7"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7"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37"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0.32334240000000025</v>
      </c>
      <c r="EH37"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1.7963466666666665</v>
      </c>
      <c r="EI37"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1.7963466666666665</v>
      </c>
      <c r="EJ37"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1.7963466666666665</v>
      </c>
      <c r="EK37"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1.7963466666666665</v>
      </c>
      <c r="EL37"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1.7963466666666665</v>
      </c>
      <c r="EM37"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1.7963466666666665</v>
      </c>
      <c r="EN37"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1.7963466666666665</v>
      </c>
      <c r="EO37"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0.179634666666666</v>
      </c>
      <c r="EP37"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7"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7"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7"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7"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7"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7"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7"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7"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7"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7"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7" s="96" t="s">
        <v>382</v>
      </c>
    </row>
    <row r="38" spans="1:157" ht="15" x14ac:dyDescent="0.35">
      <c r="A38" s="8" t="s">
        <v>362</v>
      </c>
      <c r="B38" t="s">
        <v>375</v>
      </c>
      <c r="C38" t="s">
        <v>59</v>
      </c>
      <c r="D38" t="s">
        <v>302</v>
      </c>
      <c r="E38" t="s">
        <v>61</v>
      </c>
      <c r="F38" s="46">
        <v>1643</v>
      </c>
      <c r="G38" s="118">
        <f ca="1">OM.Table[[#This Row],[PV.Baseline.TOS]]-OM.Table[[#This Row],[PV.Efficient.TOS]]</f>
        <v>14.793089588517555</v>
      </c>
      <c r="H38" s="119">
        <f ca="1">OM.Table[[#This Row],[PV.Baseline.ER]]-OM.Table[[#This Row],[PV.Efficient.ER]]</f>
        <v>6.8334573803326952</v>
      </c>
      <c r="I38" s="47" t="s">
        <v>16</v>
      </c>
      <c r="J38" s="48" t="s">
        <v>16</v>
      </c>
      <c r="K38" s="120" t="str">
        <f>IFERROR(OM.Table[[#This Row],[Eff.Equip.Cost]]+OM.Table[[#This Row],[Eff.Labor.Cost]],"NA")</f>
        <v>NA</v>
      </c>
      <c r="L38" s="48">
        <v>4.2699999999999996</v>
      </c>
      <c r="M38" s="48">
        <v>0</v>
      </c>
      <c r="N38" s="120">
        <f>IFERROR(OM.Table[[#This Row],[Base.Equip.Cost]]+OM.Table[[#This Row],[Base.Labor.Cost]],"NA")</f>
        <v>4.2699999999999996</v>
      </c>
      <c r="O38" s="48">
        <v>6.52</v>
      </c>
      <c r="P38" s="48">
        <v>0</v>
      </c>
      <c r="Q38" s="49">
        <f>IFERROR(OM.Table[[#This Row],[2nd.Base.Equip.Cost]]+OM.Table[[#This Row],[2nd.Base.Labor.Cost]],"NA")</f>
        <v>6.52</v>
      </c>
      <c r="R38" s="50">
        <v>9.1</v>
      </c>
      <c r="S38" s="121">
        <f>OM.Table[[#This Row],[Measure.Life.Yrs]]/3</f>
        <v>3.0333333333333332</v>
      </c>
      <c r="T38" s="7" t="s">
        <v>16</v>
      </c>
      <c r="U38" s="121" t="str">
        <f>IFERROR(OM.Table[[#This Row],[Eff.Life.Hrs]]/OM.Table[[#This Row],[Annual.HOU]],"NA")</f>
        <v>NA</v>
      </c>
      <c r="V38" s="52">
        <v>1000</v>
      </c>
      <c r="W38" s="122">
        <f>IFERROR(OM.Table[[#This Row],[Base.Life.Hrs]]/OM.Table[[#This Row],[Annual.HOU]],"NA")</f>
        <v>0.60864272671941566</v>
      </c>
      <c r="X38" s="91">
        <v>2020</v>
      </c>
      <c r="Y38" s="52">
        <v>10000</v>
      </c>
      <c r="Z38" s="51">
        <f>IFERROR(OM.Table[[#This Row],[2nd.Base.Life.Hrs]]/OM.Table[[#This Row],[Annual.HOU]],"NA")</f>
        <v>6.0864272671941571</v>
      </c>
      <c r="AA38" s="13">
        <f>NPV(DiscountRate,OM.Table[[#This Row],[Eff.Annual.Cost.Y00.TOS]:[Eff.Annual.Cost.Y20.TOS]])</f>
        <v>0</v>
      </c>
      <c r="AB38"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14.793089588517555</v>
      </c>
      <c r="AC38" s="13">
        <f>NPV(DiscountRate,OM.Table[[#This Row],[Eff.Annual.Cost.Y00.ER]:[Eff.Annual.Cost.Y20.ER]])</f>
        <v>0</v>
      </c>
      <c r="AD38"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6.8334573803326952</v>
      </c>
      <c r="AE38"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8"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8"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8"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8"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8"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8"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8"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8"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8"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8"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8"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8"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8"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8"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8"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8"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8"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8"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8"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8"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8"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4.4536099999999994</v>
      </c>
      <c r="BA38"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7.0156099999999997</v>
      </c>
      <c r="BB38"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7.0156099999999997</v>
      </c>
      <c r="BC38"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7.0156099999999997</v>
      </c>
      <c r="BD38"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7.0156099999999997</v>
      </c>
      <c r="BE38"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7.0156099999999997</v>
      </c>
      <c r="BF38"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7.0156099999999997</v>
      </c>
      <c r="BG38"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7.0156099999999997</v>
      </c>
      <c r="BH38"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7.0156099999999997</v>
      </c>
      <c r="BI38"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0.70156099999999744</v>
      </c>
      <c r="BJ38"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8"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8"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8"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8"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8"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8"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8"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8"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8"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8"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8"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8"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38"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0</v>
      </c>
      <c r="BX38"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0.37294400000000028</v>
      </c>
      <c r="BY38"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1.0712359999999999</v>
      </c>
      <c r="BZ38"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1.0712359999999999</v>
      </c>
      <c r="CA38"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1.0712359999999999</v>
      </c>
      <c r="CB38"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1.0712359999999999</v>
      </c>
      <c r="CC38"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1.0712359999999999</v>
      </c>
      <c r="CD38"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0.10712359999999962</v>
      </c>
      <c r="CE38"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8"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8"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8"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8"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8"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8"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8"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8"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8"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8"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8"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8"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8"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8"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8"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8"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8"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8"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8"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8"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8"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8"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8"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8"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8"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8"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8"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8"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8"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8"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8"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8"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38"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1.2628098000000012</v>
      </c>
      <c r="DM38"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7.0156099999999997</v>
      </c>
      <c r="DN38"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7.0156099999999997</v>
      </c>
      <c r="DO38"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7.0156099999999997</v>
      </c>
      <c r="DP38"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7.0156099999999997</v>
      </c>
      <c r="DQ38"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7.0156099999999997</v>
      </c>
      <c r="DR38"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7.0156099999999997</v>
      </c>
      <c r="DS38"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7.0156099999999997</v>
      </c>
      <c r="DT38"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0.70156099999999744</v>
      </c>
      <c r="DU38"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8"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8"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8"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8"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8"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8"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8"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8"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8"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8"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8"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38"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0.19282248000000013</v>
      </c>
      <c r="EH38"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1.0712359999999999</v>
      </c>
      <c r="EI38"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1.0712359999999999</v>
      </c>
      <c r="EJ38"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1.0712359999999999</v>
      </c>
      <c r="EK38"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1.0712359999999999</v>
      </c>
      <c r="EL38"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1.0712359999999999</v>
      </c>
      <c r="EM38"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1.0712359999999999</v>
      </c>
      <c r="EN38"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1.0712359999999999</v>
      </c>
      <c r="EO38"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0.10712359999999962</v>
      </c>
      <c r="EP38"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8"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8"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8"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8"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8"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8"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8"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8"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8"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8"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8" s="96" t="s">
        <v>381</v>
      </c>
    </row>
    <row r="39" spans="1:157" ht="15" x14ac:dyDescent="0.35">
      <c r="A39" s="8" t="s">
        <v>362</v>
      </c>
      <c r="B39" t="s">
        <v>376</v>
      </c>
      <c r="C39" t="s">
        <v>59</v>
      </c>
      <c r="D39" t="s">
        <v>303</v>
      </c>
      <c r="E39" t="s">
        <v>62</v>
      </c>
      <c r="F39" s="46">
        <v>1643</v>
      </c>
      <c r="G39" s="118">
        <f ca="1">OM.Table[[#This Row],[PV.Baseline.TOS]]-OM.Table[[#This Row],[PV.Efficient.TOS]]</f>
        <v>12.47616469846521</v>
      </c>
      <c r="H39" s="119">
        <f ca="1">OM.Table[[#This Row],[PV.Baseline.ER]]-OM.Table[[#This Row],[PV.Efficient.ER]]</f>
        <v>9.1585623574653212</v>
      </c>
      <c r="I39" s="47" t="s">
        <v>16</v>
      </c>
      <c r="J39" s="48" t="s">
        <v>16</v>
      </c>
      <c r="K39" s="120" t="str">
        <f>IFERROR(OM.Table[[#This Row],[Eff.Equip.Cost]]+OM.Table[[#This Row],[Eff.Labor.Cost]],"NA")</f>
        <v>NA</v>
      </c>
      <c r="L39" s="48">
        <v>1.62</v>
      </c>
      <c r="M39" s="48">
        <v>0</v>
      </c>
      <c r="N39" s="120">
        <f>IFERROR(OM.Table[[#This Row],[Base.Equip.Cost]]+OM.Table[[#This Row],[Base.Labor.Cost]],"NA")</f>
        <v>1.62</v>
      </c>
      <c r="O39" s="48">
        <v>6</v>
      </c>
      <c r="P39" s="48">
        <v>0</v>
      </c>
      <c r="Q39" s="49">
        <f>IFERROR(OM.Table[[#This Row],[2nd.Base.Equip.Cost]]+OM.Table[[#This Row],[2nd.Base.Labor.Cost]],"NA")</f>
        <v>6</v>
      </c>
      <c r="R39" s="50">
        <v>9.1</v>
      </c>
      <c r="S39" s="121">
        <f>OM.Table[[#This Row],[Measure.Life.Yrs]]/3</f>
        <v>3.0333333333333332</v>
      </c>
      <c r="T39" s="7" t="s">
        <v>16</v>
      </c>
      <c r="U39" s="121" t="str">
        <f>IFERROR(OM.Table[[#This Row],[Eff.Life.Hrs]]/OM.Table[[#This Row],[Annual.HOU]],"NA")</f>
        <v>NA</v>
      </c>
      <c r="V39" s="52">
        <v>1000</v>
      </c>
      <c r="W39" s="122">
        <f>IFERROR(OM.Table[[#This Row],[Base.Life.Hrs]]/OM.Table[[#This Row],[Annual.HOU]],"NA")</f>
        <v>0.60864272671941566</v>
      </c>
      <c r="X39" s="91">
        <v>2020</v>
      </c>
      <c r="Y39" s="52">
        <v>6000</v>
      </c>
      <c r="Z39" s="51">
        <f>IFERROR(OM.Table[[#This Row],[2nd.Base.Life.Hrs]]/OM.Table[[#This Row],[Annual.HOU]],"NA")</f>
        <v>3.6518563603164944</v>
      </c>
      <c r="AA39" s="13">
        <f>NPV(DiscountRate,OM.Table[[#This Row],[Eff.Annual.Cost.Y00.TOS]:[Eff.Annual.Cost.Y20.TOS]])</f>
        <v>0</v>
      </c>
      <c r="AB39"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12.47616469846521</v>
      </c>
      <c r="AC39" s="13">
        <f>NPV(DiscountRate,OM.Table[[#This Row],[Eff.Annual.Cost.Y00.ER]:[Eff.Annual.Cost.Y20.ER]])</f>
        <v>0</v>
      </c>
      <c r="AD39"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9.1585623574653212</v>
      </c>
      <c r="AE39"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39"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39"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39"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39"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39"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39"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39"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39"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39"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39"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39"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39"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39"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39"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39"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39"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39"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39"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39"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39"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39"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1.6896600000000004</v>
      </c>
      <c r="BA39"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2.6616600000000004</v>
      </c>
      <c r="BB39"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2.6616600000000004</v>
      </c>
      <c r="BC39"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2.6616600000000004</v>
      </c>
      <c r="BD39"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2.6616600000000004</v>
      </c>
      <c r="BE39"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2.6616600000000004</v>
      </c>
      <c r="BF39"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2.6616600000000004</v>
      </c>
      <c r="BG39"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2.6616600000000004</v>
      </c>
      <c r="BH39"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2.6616600000000004</v>
      </c>
      <c r="BI39"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0.26616599999999907</v>
      </c>
      <c r="BJ39"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39"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39"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39"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39"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39"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39"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39"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39"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39"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39"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39"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39"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39"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1.3289999999999997</v>
      </c>
      <c r="BX39"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1.643</v>
      </c>
      <c r="BY39"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1.643</v>
      </c>
      <c r="BZ39"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1.643</v>
      </c>
      <c r="CA39"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1.643</v>
      </c>
      <c r="CB39"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1.643</v>
      </c>
      <c r="CC39"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1.643</v>
      </c>
      <c r="CD39"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0.16429999999999942</v>
      </c>
      <c r="CE39"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39"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39"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39"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39"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39"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39"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39"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39"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39"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39"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39"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39"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39"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39"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39"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39"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39"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39"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39"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39"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39"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39"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39"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39"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39"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39"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39"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39"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39"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39"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39"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39"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39"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0.47909880000000055</v>
      </c>
      <c r="DM39"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2.6616600000000004</v>
      </c>
      <c r="DN39"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2.6616600000000004</v>
      </c>
      <c r="DO39"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2.6616600000000004</v>
      </c>
      <c r="DP39"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2.6616600000000004</v>
      </c>
      <c r="DQ39"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2.6616600000000004</v>
      </c>
      <c r="DR39"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2.6616600000000004</v>
      </c>
      <c r="DS39"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2.6616600000000004</v>
      </c>
      <c r="DT39"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0.26616599999999907</v>
      </c>
      <c r="DU39"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39"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39"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39"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39"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39"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39"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39"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39"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39"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39"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39"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39"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0.29574000000000022</v>
      </c>
      <c r="EH39"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1.643</v>
      </c>
      <c r="EI39"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1.643</v>
      </c>
      <c r="EJ39"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1.643</v>
      </c>
      <c r="EK39"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1.643</v>
      </c>
      <c r="EL39"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1.643</v>
      </c>
      <c r="EM39"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1.643</v>
      </c>
      <c r="EN39"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1.643</v>
      </c>
      <c r="EO39"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0.16429999999999942</v>
      </c>
      <c r="EP39"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39"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39"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39"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39"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39"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39"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39"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39"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39"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39"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39" s="96" t="s">
        <v>382</v>
      </c>
    </row>
    <row r="40" spans="1:157" ht="15" x14ac:dyDescent="0.35">
      <c r="A40" s="8" t="s">
        <v>362</v>
      </c>
      <c r="B40" t="s">
        <v>377</v>
      </c>
      <c r="C40" t="s">
        <v>59</v>
      </c>
      <c r="D40" t="s">
        <v>304</v>
      </c>
      <c r="E40" t="s">
        <v>63</v>
      </c>
      <c r="F40" s="46">
        <v>1643</v>
      </c>
      <c r="G40" s="118">
        <f ca="1">OM.Table[[#This Row],[PV.Baseline.TOS]]-OM.Table[[#This Row],[PV.Efficient.TOS]]</f>
        <v>10.15701022166305</v>
      </c>
      <c r="H40" s="119">
        <f ca="1">OM.Table[[#This Row],[PV.Baseline.ER]]-OM.Table[[#This Row],[PV.Efficient.ER]]</f>
        <v>7.8666040567420525</v>
      </c>
      <c r="I40" s="47" t="s">
        <v>16</v>
      </c>
      <c r="J40" s="48" t="s">
        <v>16</v>
      </c>
      <c r="K40" s="120" t="str">
        <f>IFERROR(OM.Table[[#This Row],[Eff.Equip.Cost]]+OM.Table[[#This Row],[Eff.Labor.Cost]],"NA")</f>
        <v>NA</v>
      </c>
      <c r="L40" s="48">
        <v>1.1399999999999999</v>
      </c>
      <c r="M40" s="48">
        <v>0</v>
      </c>
      <c r="N40" s="120">
        <f>IFERROR(OM.Table[[#This Row],[Base.Equip.Cost]]+OM.Table[[#This Row],[Base.Labor.Cost]],"NA")</f>
        <v>1.1399999999999999</v>
      </c>
      <c r="O40" s="48">
        <v>5.2</v>
      </c>
      <c r="P40" s="48">
        <v>0</v>
      </c>
      <c r="Q40" s="49">
        <f>IFERROR(OM.Table[[#This Row],[2nd.Base.Equip.Cost]]+OM.Table[[#This Row],[2nd.Base.Labor.Cost]],"NA")</f>
        <v>5.2</v>
      </c>
      <c r="R40" s="50">
        <v>9.1</v>
      </c>
      <c r="S40" s="121">
        <f>OM.Table[[#This Row],[Measure.Life.Yrs]]/3</f>
        <v>3.0333333333333332</v>
      </c>
      <c r="T40" s="7" t="s">
        <v>16</v>
      </c>
      <c r="U40" s="121" t="str">
        <f>IFERROR(OM.Table[[#This Row],[Eff.Life.Hrs]]/OM.Table[[#This Row],[Annual.HOU]],"NA")</f>
        <v>NA</v>
      </c>
      <c r="V40" s="52">
        <v>1000</v>
      </c>
      <c r="W40" s="122">
        <f>IFERROR(OM.Table[[#This Row],[Base.Life.Hrs]]/OM.Table[[#This Row],[Annual.HOU]],"NA")</f>
        <v>0.60864272671941566</v>
      </c>
      <c r="X40" s="91">
        <v>2020</v>
      </c>
      <c r="Y40" s="52">
        <v>6000</v>
      </c>
      <c r="Z40" s="51">
        <f>IFERROR(OM.Table[[#This Row],[2nd.Base.Life.Hrs]]/OM.Table[[#This Row],[Annual.HOU]],"NA")</f>
        <v>3.6518563603164944</v>
      </c>
      <c r="AA40" s="13">
        <f>NPV(DiscountRate,OM.Table[[#This Row],[Eff.Annual.Cost.Y00.TOS]:[Eff.Annual.Cost.Y20.TOS]])</f>
        <v>0</v>
      </c>
      <c r="AB40" s="119">
        <f ca="1">IF(AND(ISNUMBER(OM.Table[[#This Row],[Base.Shift.Year]]),OM.Table[[#This Row],[Base.Shift.Year]]&gt;ProgramYear),
      NPV(DiscountRate,INDIRECT("OM.Table[@[Base.Annual.Cost.Y00.TOS]:[Base.Annual.Cost.Y"&amp;TEXT(OM.Table[[#This Row],[Base.Shift.Year]]-ProgramYear-1,"00")&amp;".TOS]]"),
      INDIRECT("OM.Table[@[2nd.Base.Annual.Cost.Y"&amp;TEXT(OM.Table[[#This Row],[Base.Shift.Year]]-ProgramYear,"00")&amp;".TOS]:[2nd.Base.Annual.Cost.Y20.TOS]]")),
      NPV(DiscountRate,OM.Table[[#This Row],[Base.Annual.Cost.Y00.TOS]:[Base.Annual.Cost.Y20.TOS]]))</f>
        <v>10.15701022166305</v>
      </c>
      <c r="AC40" s="13">
        <f>NPV(DiscountRate,OM.Table[[#This Row],[Eff.Annual.Cost.Y00.ER]:[Eff.Annual.Cost.Y20.ER]])</f>
        <v>0</v>
      </c>
      <c r="AD40" s="63">
        <f ca="1">IF(AND(ISNUMBER(OM.Table[[#This Row],[Base.Shift.Year]]),OM.Table[[#This Row],[Base.Shift.Year]]&gt;ProgramYear),
      NPV(DiscountRate,INDIRECT("OM.Table[@[Base.Annual.Cost.Y00.ER]:[Base.Annual.Cost.Y"&amp;TEXT(OM.Table[[#This Row],[Base.Shift.Year]]-ProgramYear-1,"00")&amp;".ER]]"),
      INDIRECT("OM.Table[@[2nd.Base.Annual.Cost.Y"&amp;TEXT(OM.Table[[#This Row],[Base.Shift.Year]]-ProgramYear,"00")&amp;".ER]:[2nd.Base.Annual.Cost.Y20.ER]]")),
      NPV(DiscountRate,OM.Table[[#This Row],[Base.Annual.Cost.Y00.ER]:[Base.Annual.Cost.Y20.ER]]))</f>
        <v>7.8666040567420525</v>
      </c>
      <c r="AE40" s="12">
        <f>IFERROR(IF(OM.Table[[#This Row],[Measure.Life.Yrs]]-AE$4&lt;=0,0,
      IF(OM.Table[[#This Row],[Measure.Life.Yrs]]-AE$4&gt;=1,
          IF(OM.Table[[#This Row],[Eff.Life.Yrs]]*AnnualizedCostStart-AE$4&gt;=1,0,
              IF(OM.Table[[#This Row],[Eff.Life.Yrs]]*AnnualizedCostStart-AE$4&gt;=0,(1-(OM.Table[[#This Row],[Eff.Life.Yrs]]*AnnualizedCostStart-AE$4))*OM.Table[[#This Row],[Eff.Total.Cost]]/OM.Table[[#This Row],[Eff.Life.Yrs]],OM.Table[[#This Row],[Eff.Total.Cost]]/OM.Table[[#This Row],[Eff.Life.Yrs]])),
      IF(OM.Table[[#This Row],[Measure.Life.Yrs]]-AE$4&gt;0,
          MIN(OM.Table[[#This Row],[Measure.Life.Yrs]]-AE$4,OM.Table[[#This Row],[Measure.Life.Yrs]]-OM.Table[[#This Row],[Eff.Life.Yrs]]*AnnualizedCostStart)*OM.Table[[#This Row],[Eff.Total.Cost]]/OM.Table[[#This Row],[Eff.Life.Yrs]],0))),0)</f>
        <v>0</v>
      </c>
      <c r="AF40" s="12">
        <f>IFERROR(IF(OM.Table[[#This Row],[Measure.Life.Yrs]]-AF$4&lt;=0,0,
      IF(OM.Table[[#This Row],[Measure.Life.Yrs]]-AF$4&gt;=1,
          IF(OM.Table[[#This Row],[Eff.Life.Yrs]]*AnnualizedCostStart-AF$4&gt;=1,0,
              IF(OM.Table[[#This Row],[Eff.Life.Yrs]]*AnnualizedCostStart-AF$4&gt;=0,(1-(OM.Table[[#This Row],[Eff.Life.Yrs]]*AnnualizedCostStart-AF$4))*OM.Table[[#This Row],[Eff.Total.Cost]]/OM.Table[[#This Row],[Eff.Life.Yrs]],OM.Table[[#This Row],[Eff.Total.Cost]]/OM.Table[[#This Row],[Eff.Life.Yrs]])),
      IF(OM.Table[[#This Row],[Measure.Life.Yrs]]-AF$4&gt;0,
          MIN(OM.Table[[#This Row],[Measure.Life.Yrs]]-AF$4,OM.Table[[#This Row],[Measure.Life.Yrs]]-OM.Table[[#This Row],[Eff.Life.Yrs]]*AnnualizedCostStart)*OM.Table[[#This Row],[Eff.Total.Cost]]/OM.Table[[#This Row],[Eff.Life.Yrs]],0))),0)</f>
        <v>0</v>
      </c>
      <c r="AG40" s="12">
        <f>IFERROR(IF(OM.Table[[#This Row],[Measure.Life.Yrs]]-AG$4&lt;=0,0,
      IF(OM.Table[[#This Row],[Measure.Life.Yrs]]-AG$4&gt;=1,
          IF(OM.Table[[#This Row],[Eff.Life.Yrs]]*AnnualizedCostStart-AG$4&gt;=1,0,
              IF(OM.Table[[#This Row],[Eff.Life.Yrs]]*AnnualizedCostStart-AG$4&gt;=0,(1-(OM.Table[[#This Row],[Eff.Life.Yrs]]*AnnualizedCostStart-AG$4))*OM.Table[[#This Row],[Eff.Total.Cost]]/OM.Table[[#This Row],[Eff.Life.Yrs]],OM.Table[[#This Row],[Eff.Total.Cost]]/OM.Table[[#This Row],[Eff.Life.Yrs]])),
      IF(OM.Table[[#This Row],[Measure.Life.Yrs]]-AG$4&gt;0,
          MIN(OM.Table[[#This Row],[Measure.Life.Yrs]]-AG$4,OM.Table[[#This Row],[Measure.Life.Yrs]]-OM.Table[[#This Row],[Eff.Life.Yrs]]*AnnualizedCostStart)*OM.Table[[#This Row],[Eff.Total.Cost]]/OM.Table[[#This Row],[Eff.Life.Yrs]],0))),0)</f>
        <v>0</v>
      </c>
      <c r="AH40" s="12">
        <f>IFERROR(IF(OM.Table[[#This Row],[Measure.Life.Yrs]]-AH$4&lt;=0,0,
      IF(OM.Table[[#This Row],[Measure.Life.Yrs]]-AH$4&gt;=1,
          IF(OM.Table[[#This Row],[Eff.Life.Yrs]]*AnnualizedCostStart-AH$4&gt;=1,0,
              IF(OM.Table[[#This Row],[Eff.Life.Yrs]]*AnnualizedCostStart-AH$4&gt;=0,(1-(OM.Table[[#This Row],[Eff.Life.Yrs]]*AnnualizedCostStart-AH$4))*OM.Table[[#This Row],[Eff.Total.Cost]]/OM.Table[[#This Row],[Eff.Life.Yrs]],OM.Table[[#This Row],[Eff.Total.Cost]]/OM.Table[[#This Row],[Eff.Life.Yrs]])),
      IF(OM.Table[[#This Row],[Measure.Life.Yrs]]-AH$4&gt;0,
          MIN(OM.Table[[#This Row],[Measure.Life.Yrs]]-AH$4,OM.Table[[#This Row],[Measure.Life.Yrs]]-OM.Table[[#This Row],[Eff.Life.Yrs]]*AnnualizedCostStart)*OM.Table[[#This Row],[Eff.Total.Cost]]/OM.Table[[#This Row],[Eff.Life.Yrs]],0))),0)</f>
        <v>0</v>
      </c>
      <c r="AI40" s="12">
        <f>IFERROR(IF(OM.Table[[#This Row],[Measure.Life.Yrs]]-AI$4&lt;=0,0,
      IF(OM.Table[[#This Row],[Measure.Life.Yrs]]-AI$4&gt;=1,
          IF(OM.Table[[#This Row],[Eff.Life.Yrs]]*AnnualizedCostStart-AI$4&gt;=1,0,
              IF(OM.Table[[#This Row],[Eff.Life.Yrs]]*AnnualizedCostStart-AI$4&gt;=0,(1-(OM.Table[[#This Row],[Eff.Life.Yrs]]*AnnualizedCostStart-AI$4))*OM.Table[[#This Row],[Eff.Total.Cost]]/OM.Table[[#This Row],[Eff.Life.Yrs]],OM.Table[[#This Row],[Eff.Total.Cost]]/OM.Table[[#This Row],[Eff.Life.Yrs]])),
      IF(OM.Table[[#This Row],[Measure.Life.Yrs]]-AI$4&gt;0,
          MIN(OM.Table[[#This Row],[Measure.Life.Yrs]]-AI$4,OM.Table[[#This Row],[Measure.Life.Yrs]]-OM.Table[[#This Row],[Eff.Life.Yrs]]*AnnualizedCostStart)*OM.Table[[#This Row],[Eff.Total.Cost]]/OM.Table[[#This Row],[Eff.Life.Yrs]],0))),0)</f>
        <v>0</v>
      </c>
      <c r="AJ40" s="12">
        <f>IFERROR(IF(OM.Table[[#This Row],[Measure.Life.Yrs]]-AJ$4&lt;=0,0,
      IF(OM.Table[[#This Row],[Measure.Life.Yrs]]-AJ$4&gt;=1,
          IF(OM.Table[[#This Row],[Eff.Life.Yrs]]*AnnualizedCostStart-AJ$4&gt;=1,0,
              IF(OM.Table[[#This Row],[Eff.Life.Yrs]]*AnnualizedCostStart-AJ$4&gt;=0,(1-(OM.Table[[#This Row],[Eff.Life.Yrs]]*AnnualizedCostStart-AJ$4))*OM.Table[[#This Row],[Eff.Total.Cost]]/OM.Table[[#This Row],[Eff.Life.Yrs]],OM.Table[[#This Row],[Eff.Total.Cost]]/OM.Table[[#This Row],[Eff.Life.Yrs]])),
      IF(OM.Table[[#This Row],[Measure.Life.Yrs]]-AJ$4&gt;0,
          MIN(OM.Table[[#This Row],[Measure.Life.Yrs]]-AJ$4,OM.Table[[#This Row],[Measure.Life.Yrs]]-OM.Table[[#This Row],[Eff.Life.Yrs]]*AnnualizedCostStart)*OM.Table[[#This Row],[Eff.Total.Cost]]/OM.Table[[#This Row],[Eff.Life.Yrs]],0))),0)</f>
        <v>0</v>
      </c>
      <c r="AK40" s="12">
        <f>IFERROR(IF(OM.Table[[#This Row],[Measure.Life.Yrs]]-AK$4&lt;=0,0,
      IF(OM.Table[[#This Row],[Measure.Life.Yrs]]-AK$4&gt;=1,
          IF(OM.Table[[#This Row],[Eff.Life.Yrs]]*AnnualizedCostStart-AK$4&gt;=1,0,
              IF(OM.Table[[#This Row],[Eff.Life.Yrs]]*AnnualizedCostStart-AK$4&gt;=0,(1-(OM.Table[[#This Row],[Eff.Life.Yrs]]*AnnualizedCostStart-AK$4))*OM.Table[[#This Row],[Eff.Total.Cost]]/OM.Table[[#This Row],[Eff.Life.Yrs]],OM.Table[[#This Row],[Eff.Total.Cost]]/OM.Table[[#This Row],[Eff.Life.Yrs]])),
      IF(OM.Table[[#This Row],[Measure.Life.Yrs]]-AK$4&gt;0,
          MIN(OM.Table[[#This Row],[Measure.Life.Yrs]]-AK$4,OM.Table[[#This Row],[Measure.Life.Yrs]]-OM.Table[[#This Row],[Eff.Life.Yrs]]*AnnualizedCostStart)*OM.Table[[#This Row],[Eff.Total.Cost]]/OM.Table[[#This Row],[Eff.Life.Yrs]],0))),0)</f>
        <v>0</v>
      </c>
      <c r="AL40" s="12">
        <f>IFERROR(IF(OM.Table[[#This Row],[Measure.Life.Yrs]]-AL$4&lt;=0,0,
      IF(OM.Table[[#This Row],[Measure.Life.Yrs]]-AL$4&gt;=1,
          IF(OM.Table[[#This Row],[Eff.Life.Yrs]]*AnnualizedCostStart-AL$4&gt;=1,0,
              IF(OM.Table[[#This Row],[Eff.Life.Yrs]]*AnnualizedCostStart-AL$4&gt;=0,(1-(OM.Table[[#This Row],[Eff.Life.Yrs]]*AnnualizedCostStart-AL$4))*OM.Table[[#This Row],[Eff.Total.Cost]]/OM.Table[[#This Row],[Eff.Life.Yrs]],OM.Table[[#This Row],[Eff.Total.Cost]]/OM.Table[[#This Row],[Eff.Life.Yrs]])),
      IF(OM.Table[[#This Row],[Measure.Life.Yrs]]-AL$4&gt;0,
          MIN(OM.Table[[#This Row],[Measure.Life.Yrs]]-AL$4,OM.Table[[#This Row],[Measure.Life.Yrs]]-OM.Table[[#This Row],[Eff.Life.Yrs]]*AnnualizedCostStart)*OM.Table[[#This Row],[Eff.Total.Cost]]/OM.Table[[#This Row],[Eff.Life.Yrs]],0))),0)</f>
        <v>0</v>
      </c>
      <c r="AM40" s="12">
        <f>IFERROR(IF(OM.Table[[#This Row],[Measure.Life.Yrs]]-AM$4&lt;=0,0,
      IF(OM.Table[[#This Row],[Measure.Life.Yrs]]-AM$4&gt;=1,
          IF(OM.Table[[#This Row],[Eff.Life.Yrs]]*AnnualizedCostStart-AM$4&gt;=1,0,
              IF(OM.Table[[#This Row],[Eff.Life.Yrs]]*AnnualizedCostStart-AM$4&gt;=0,(1-(OM.Table[[#This Row],[Eff.Life.Yrs]]*AnnualizedCostStart-AM$4))*OM.Table[[#This Row],[Eff.Total.Cost]]/OM.Table[[#This Row],[Eff.Life.Yrs]],OM.Table[[#This Row],[Eff.Total.Cost]]/OM.Table[[#This Row],[Eff.Life.Yrs]])),
      IF(OM.Table[[#This Row],[Measure.Life.Yrs]]-AM$4&gt;0,
          MIN(OM.Table[[#This Row],[Measure.Life.Yrs]]-AM$4,OM.Table[[#This Row],[Measure.Life.Yrs]]-OM.Table[[#This Row],[Eff.Life.Yrs]]*AnnualizedCostStart)*OM.Table[[#This Row],[Eff.Total.Cost]]/OM.Table[[#This Row],[Eff.Life.Yrs]],0))),0)</f>
        <v>0</v>
      </c>
      <c r="AN40" s="12">
        <f>IFERROR(IF(OM.Table[[#This Row],[Measure.Life.Yrs]]-AN$4&lt;=0,0,
      IF(OM.Table[[#This Row],[Measure.Life.Yrs]]-AN$4&gt;=1,
          IF(OM.Table[[#This Row],[Eff.Life.Yrs]]*AnnualizedCostStart-AN$4&gt;=1,0,
              IF(OM.Table[[#This Row],[Eff.Life.Yrs]]*AnnualizedCostStart-AN$4&gt;=0,(1-(OM.Table[[#This Row],[Eff.Life.Yrs]]*AnnualizedCostStart-AN$4))*OM.Table[[#This Row],[Eff.Total.Cost]]/OM.Table[[#This Row],[Eff.Life.Yrs]],OM.Table[[#This Row],[Eff.Total.Cost]]/OM.Table[[#This Row],[Eff.Life.Yrs]])),
      IF(OM.Table[[#This Row],[Measure.Life.Yrs]]-AN$4&gt;0,
          MIN(OM.Table[[#This Row],[Measure.Life.Yrs]]-AN$4,OM.Table[[#This Row],[Measure.Life.Yrs]]-OM.Table[[#This Row],[Eff.Life.Yrs]]*AnnualizedCostStart)*OM.Table[[#This Row],[Eff.Total.Cost]]/OM.Table[[#This Row],[Eff.Life.Yrs]],0))),0)</f>
        <v>0</v>
      </c>
      <c r="AO40" s="12">
        <f>IFERROR(IF(OM.Table[[#This Row],[Measure.Life.Yrs]]-AO$4&lt;=0,0,
      IF(OM.Table[[#This Row],[Measure.Life.Yrs]]-AO$4&gt;=1,
          IF(OM.Table[[#This Row],[Eff.Life.Yrs]]*AnnualizedCostStart-AO$4&gt;=1,0,
              IF(OM.Table[[#This Row],[Eff.Life.Yrs]]*AnnualizedCostStart-AO$4&gt;=0,(1-(OM.Table[[#This Row],[Eff.Life.Yrs]]*AnnualizedCostStart-AO$4))*OM.Table[[#This Row],[Eff.Total.Cost]]/OM.Table[[#This Row],[Eff.Life.Yrs]],OM.Table[[#This Row],[Eff.Total.Cost]]/OM.Table[[#This Row],[Eff.Life.Yrs]])),
      IF(OM.Table[[#This Row],[Measure.Life.Yrs]]-AO$4&gt;0,
          MIN(OM.Table[[#This Row],[Measure.Life.Yrs]]-AO$4,OM.Table[[#This Row],[Measure.Life.Yrs]]-OM.Table[[#This Row],[Eff.Life.Yrs]]*AnnualizedCostStart)*OM.Table[[#This Row],[Eff.Total.Cost]]/OM.Table[[#This Row],[Eff.Life.Yrs]],0))),0)</f>
        <v>0</v>
      </c>
      <c r="AP40" s="12">
        <f>IFERROR(IF(OM.Table[[#This Row],[Measure.Life.Yrs]]-AP$4&lt;=0,0,
      IF(OM.Table[[#This Row],[Measure.Life.Yrs]]-AP$4&gt;=1,
          IF(OM.Table[[#This Row],[Eff.Life.Yrs]]*AnnualizedCostStart-AP$4&gt;=1,0,
              IF(OM.Table[[#This Row],[Eff.Life.Yrs]]*AnnualizedCostStart-AP$4&gt;=0,(1-(OM.Table[[#This Row],[Eff.Life.Yrs]]*AnnualizedCostStart-AP$4))*OM.Table[[#This Row],[Eff.Total.Cost]]/OM.Table[[#This Row],[Eff.Life.Yrs]],OM.Table[[#This Row],[Eff.Total.Cost]]/OM.Table[[#This Row],[Eff.Life.Yrs]])),
      IF(OM.Table[[#This Row],[Measure.Life.Yrs]]-AP$4&gt;0,
          MIN(OM.Table[[#This Row],[Measure.Life.Yrs]]-AP$4,OM.Table[[#This Row],[Measure.Life.Yrs]]-OM.Table[[#This Row],[Eff.Life.Yrs]]*AnnualizedCostStart)*OM.Table[[#This Row],[Eff.Total.Cost]]/OM.Table[[#This Row],[Eff.Life.Yrs]],0))),0)</f>
        <v>0</v>
      </c>
      <c r="AQ40" s="12">
        <f>IFERROR(IF(OM.Table[[#This Row],[Measure.Life.Yrs]]-AQ$4&lt;=0,0,
      IF(OM.Table[[#This Row],[Measure.Life.Yrs]]-AQ$4&gt;=1,
          IF(OM.Table[[#This Row],[Eff.Life.Yrs]]*AnnualizedCostStart-AQ$4&gt;=1,0,
              IF(OM.Table[[#This Row],[Eff.Life.Yrs]]*AnnualizedCostStart-AQ$4&gt;=0,(1-(OM.Table[[#This Row],[Eff.Life.Yrs]]*AnnualizedCostStart-AQ$4))*OM.Table[[#This Row],[Eff.Total.Cost]]/OM.Table[[#This Row],[Eff.Life.Yrs]],OM.Table[[#This Row],[Eff.Total.Cost]]/OM.Table[[#This Row],[Eff.Life.Yrs]])),
      IF(OM.Table[[#This Row],[Measure.Life.Yrs]]-AQ$4&gt;0,
          MIN(OM.Table[[#This Row],[Measure.Life.Yrs]]-AQ$4,OM.Table[[#This Row],[Measure.Life.Yrs]]-OM.Table[[#This Row],[Eff.Life.Yrs]]*AnnualizedCostStart)*OM.Table[[#This Row],[Eff.Total.Cost]]/OM.Table[[#This Row],[Eff.Life.Yrs]],0))),0)</f>
        <v>0</v>
      </c>
      <c r="AR40" s="12">
        <f>IFERROR(IF(OM.Table[[#This Row],[Measure.Life.Yrs]]-AR$4&lt;=0,0,
      IF(OM.Table[[#This Row],[Measure.Life.Yrs]]-AR$4&gt;=1,
          IF(OM.Table[[#This Row],[Eff.Life.Yrs]]*AnnualizedCostStart-AR$4&gt;=1,0,
              IF(OM.Table[[#This Row],[Eff.Life.Yrs]]*AnnualizedCostStart-AR$4&gt;=0,(1-(OM.Table[[#This Row],[Eff.Life.Yrs]]*AnnualizedCostStart-AR$4))*OM.Table[[#This Row],[Eff.Total.Cost]]/OM.Table[[#This Row],[Eff.Life.Yrs]],OM.Table[[#This Row],[Eff.Total.Cost]]/OM.Table[[#This Row],[Eff.Life.Yrs]])),
      IF(OM.Table[[#This Row],[Measure.Life.Yrs]]-AR$4&gt;0,
          MIN(OM.Table[[#This Row],[Measure.Life.Yrs]]-AR$4,OM.Table[[#This Row],[Measure.Life.Yrs]]-OM.Table[[#This Row],[Eff.Life.Yrs]]*AnnualizedCostStart)*OM.Table[[#This Row],[Eff.Total.Cost]]/OM.Table[[#This Row],[Eff.Life.Yrs]],0))),0)</f>
        <v>0</v>
      </c>
      <c r="AS40" s="12">
        <f>IFERROR(IF(OM.Table[[#This Row],[Measure.Life.Yrs]]-AS$4&lt;=0,0,
      IF(OM.Table[[#This Row],[Measure.Life.Yrs]]-AS$4&gt;=1,
          IF(OM.Table[[#This Row],[Eff.Life.Yrs]]*AnnualizedCostStart-AS$4&gt;=1,0,
              IF(OM.Table[[#This Row],[Eff.Life.Yrs]]*AnnualizedCostStart-AS$4&gt;=0,(1-(OM.Table[[#This Row],[Eff.Life.Yrs]]*AnnualizedCostStart-AS$4))*OM.Table[[#This Row],[Eff.Total.Cost]]/OM.Table[[#This Row],[Eff.Life.Yrs]],OM.Table[[#This Row],[Eff.Total.Cost]]/OM.Table[[#This Row],[Eff.Life.Yrs]])),
      IF(OM.Table[[#This Row],[Measure.Life.Yrs]]-AS$4&gt;0,
          MIN(OM.Table[[#This Row],[Measure.Life.Yrs]]-AS$4,OM.Table[[#This Row],[Measure.Life.Yrs]]-OM.Table[[#This Row],[Eff.Life.Yrs]]*AnnualizedCostStart)*OM.Table[[#This Row],[Eff.Total.Cost]]/OM.Table[[#This Row],[Eff.Life.Yrs]],0))),0)</f>
        <v>0</v>
      </c>
      <c r="AT40" s="12">
        <f>IFERROR(IF(OM.Table[[#This Row],[Measure.Life.Yrs]]-AT$4&lt;=0,0,
      IF(OM.Table[[#This Row],[Measure.Life.Yrs]]-AT$4&gt;=1,
          IF(OM.Table[[#This Row],[Eff.Life.Yrs]]*AnnualizedCostStart-AT$4&gt;=1,0,
              IF(OM.Table[[#This Row],[Eff.Life.Yrs]]*AnnualizedCostStart-AT$4&gt;=0,(1-(OM.Table[[#This Row],[Eff.Life.Yrs]]*AnnualizedCostStart-AT$4))*OM.Table[[#This Row],[Eff.Total.Cost]]/OM.Table[[#This Row],[Eff.Life.Yrs]],OM.Table[[#This Row],[Eff.Total.Cost]]/OM.Table[[#This Row],[Eff.Life.Yrs]])),
      IF(OM.Table[[#This Row],[Measure.Life.Yrs]]-AT$4&gt;0,
          MIN(OM.Table[[#This Row],[Measure.Life.Yrs]]-AT$4,OM.Table[[#This Row],[Measure.Life.Yrs]]-OM.Table[[#This Row],[Eff.Life.Yrs]]*AnnualizedCostStart)*OM.Table[[#This Row],[Eff.Total.Cost]]/OM.Table[[#This Row],[Eff.Life.Yrs]],0))),0)</f>
        <v>0</v>
      </c>
      <c r="AU40" s="12">
        <f>IFERROR(IF(OM.Table[[#This Row],[Measure.Life.Yrs]]-AU$4&lt;=0,0,
      IF(OM.Table[[#This Row],[Measure.Life.Yrs]]-AU$4&gt;=1,
          IF(OM.Table[[#This Row],[Eff.Life.Yrs]]*AnnualizedCostStart-AU$4&gt;=1,0,
              IF(OM.Table[[#This Row],[Eff.Life.Yrs]]*AnnualizedCostStart-AU$4&gt;=0,(1-(OM.Table[[#This Row],[Eff.Life.Yrs]]*AnnualizedCostStart-AU$4))*OM.Table[[#This Row],[Eff.Total.Cost]]/OM.Table[[#This Row],[Eff.Life.Yrs]],OM.Table[[#This Row],[Eff.Total.Cost]]/OM.Table[[#This Row],[Eff.Life.Yrs]])),
      IF(OM.Table[[#This Row],[Measure.Life.Yrs]]-AU$4&gt;0,
          MIN(OM.Table[[#This Row],[Measure.Life.Yrs]]-AU$4,OM.Table[[#This Row],[Measure.Life.Yrs]]-OM.Table[[#This Row],[Eff.Life.Yrs]]*AnnualizedCostStart)*OM.Table[[#This Row],[Eff.Total.Cost]]/OM.Table[[#This Row],[Eff.Life.Yrs]],0))),0)</f>
        <v>0</v>
      </c>
      <c r="AV40" s="12">
        <f>IFERROR(IF(OM.Table[[#This Row],[Measure.Life.Yrs]]-AV$4&lt;=0,0,
      IF(OM.Table[[#This Row],[Measure.Life.Yrs]]-AV$4&gt;=1,
          IF(OM.Table[[#This Row],[Eff.Life.Yrs]]*AnnualizedCostStart-AV$4&gt;=1,0,
              IF(OM.Table[[#This Row],[Eff.Life.Yrs]]*AnnualizedCostStart-AV$4&gt;=0,(1-(OM.Table[[#This Row],[Eff.Life.Yrs]]*AnnualizedCostStart-AV$4))*OM.Table[[#This Row],[Eff.Total.Cost]]/OM.Table[[#This Row],[Eff.Life.Yrs]],OM.Table[[#This Row],[Eff.Total.Cost]]/OM.Table[[#This Row],[Eff.Life.Yrs]])),
      IF(OM.Table[[#This Row],[Measure.Life.Yrs]]-AV$4&gt;0,
          MIN(OM.Table[[#This Row],[Measure.Life.Yrs]]-AV$4,OM.Table[[#This Row],[Measure.Life.Yrs]]-OM.Table[[#This Row],[Eff.Life.Yrs]]*AnnualizedCostStart)*OM.Table[[#This Row],[Eff.Total.Cost]]/OM.Table[[#This Row],[Eff.Life.Yrs]],0))),0)</f>
        <v>0</v>
      </c>
      <c r="AW40" s="12">
        <f>IFERROR(IF(OM.Table[[#This Row],[Measure.Life.Yrs]]-AW$4&lt;=0,0,
      IF(OM.Table[[#This Row],[Measure.Life.Yrs]]-AW$4&gt;=1,
          IF(OM.Table[[#This Row],[Eff.Life.Yrs]]*AnnualizedCostStart-AW$4&gt;=1,0,
              IF(OM.Table[[#This Row],[Eff.Life.Yrs]]*AnnualizedCostStart-AW$4&gt;=0,(1-(OM.Table[[#This Row],[Eff.Life.Yrs]]*AnnualizedCostStart-AW$4))*OM.Table[[#This Row],[Eff.Total.Cost]]/OM.Table[[#This Row],[Eff.Life.Yrs]],OM.Table[[#This Row],[Eff.Total.Cost]]/OM.Table[[#This Row],[Eff.Life.Yrs]])),
      IF(OM.Table[[#This Row],[Measure.Life.Yrs]]-AW$4&gt;0,
          MIN(OM.Table[[#This Row],[Measure.Life.Yrs]]-AW$4,OM.Table[[#This Row],[Measure.Life.Yrs]]-OM.Table[[#This Row],[Eff.Life.Yrs]]*AnnualizedCostStart)*OM.Table[[#This Row],[Eff.Total.Cost]]/OM.Table[[#This Row],[Eff.Life.Yrs]],0))),0)</f>
        <v>0</v>
      </c>
      <c r="AX40" s="12">
        <f>IFERROR(IF(OM.Table[[#This Row],[Measure.Life.Yrs]]-AX$4&lt;=0,0,
      IF(OM.Table[[#This Row],[Measure.Life.Yrs]]-AX$4&gt;=1,
          IF(OM.Table[[#This Row],[Eff.Life.Yrs]]*AnnualizedCostStart-AX$4&gt;=1,0,
              IF(OM.Table[[#This Row],[Eff.Life.Yrs]]*AnnualizedCostStart-AX$4&gt;=0,(1-(OM.Table[[#This Row],[Eff.Life.Yrs]]*AnnualizedCostStart-AX$4))*OM.Table[[#This Row],[Eff.Total.Cost]]/OM.Table[[#This Row],[Eff.Life.Yrs]],OM.Table[[#This Row],[Eff.Total.Cost]]/OM.Table[[#This Row],[Eff.Life.Yrs]])),
      IF(OM.Table[[#This Row],[Measure.Life.Yrs]]-AX$4&gt;0,
          MIN(OM.Table[[#This Row],[Measure.Life.Yrs]]-AX$4,OM.Table[[#This Row],[Measure.Life.Yrs]]-OM.Table[[#This Row],[Eff.Life.Yrs]]*AnnualizedCostStart)*OM.Table[[#This Row],[Eff.Total.Cost]]/OM.Table[[#This Row],[Eff.Life.Yrs]],0))),0)</f>
        <v>0</v>
      </c>
      <c r="AY40" s="12">
        <f>IFERROR(IF(OM.Table[[#This Row],[Measure.Life.Yrs]]-AY$4&lt;=0,0,
      IF(OM.Table[[#This Row],[Measure.Life.Yrs]]-AY$4&gt;=1,
          IF(OM.Table[[#This Row],[Eff.Life.Yrs]]*AnnualizedCostStart-AY$4&gt;=1,0,
              IF(OM.Table[[#This Row],[Eff.Life.Yrs]]*AnnualizedCostStart-AY$4&gt;=0,(1-(OM.Table[[#This Row],[Eff.Life.Yrs]]*AnnualizedCostStart-AY$4))*OM.Table[[#This Row],[Eff.Total.Cost]]/OM.Table[[#This Row],[Eff.Life.Yrs]],OM.Table[[#This Row],[Eff.Total.Cost]]/OM.Table[[#This Row],[Eff.Life.Yrs]])),
      IF(OM.Table[[#This Row],[Measure.Life.Yrs]]-AY$4&gt;0,
          MIN(OM.Table[[#This Row],[Measure.Life.Yrs]]-AY$4,OM.Table[[#This Row],[Measure.Life.Yrs]]-OM.Table[[#This Row],[Eff.Life.Yrs]]*AnnualizedCostStart)*OM.Table[[#This Row],[Eff.Total.Cost]]/OM.Table[[#This Row],[Eff.Life.Yrs]],0))),0)</f>
        <v>0</v>
      </c>
      <c r="AZ40" s="6">
        <f>IF(OM.Table[[#This Row],[Measure.Life.Yrs]]-AZ$4&lt;=0,0,
      IF(OM.Table[[#This Row],[Measure.Life.Yrs]]-AZ$4&gt;=1,
          IF(OM.Table[[#This Row],[Base.Life.Yrs]]*AnnualizedCostStart-AZ$4&gt;=1,0,
              IF(OM.Table[[#This Row],[Base.Life.Yrs]]*AnnualizedCostStart-AZ$4&gt;=0,(1-(OM.Table[[#This Row],[Base.Life.Yrs]]*AnnualizedCostStart-AZ$4))*OM.Table[[#This Row],[Base.Total.Cost]]/OM.Table[[#This Row],[Base.Life.Yrs]],OM.Table[[#This Row],[Base.Total.Cost]]/OM.Table[[#This Row],[Base.Life.Yrs]])),
      IF(OM.Table[[#This Row],[Measure.Life.Yrs]]-AZ$4&gt;0,
          MIN(OM.Table[[#This Row],[Measure.Life.Yrs]]-AZ$4,OM.Table[[#This Row],[Measure.Life.Yrs]]-OM.Table[[#This Row],[Base.Life.Yrs]]*AnnualizedCostStart)*OM.Table[[#This Row],[Base.Total.Cost]]/OM.Table[[#This Row],[Base.Life.Yrs]],0)))</f>
        <v>1.18902</v>
      </c>
      <c r="BA40" s="12">
        <f>IF(OM.Table[[#This Row],[Measure.Life.Yrs]]-BA$4&lt;=0,0,
      IF(OM.Table[[#This Row],[Measure.Life.Yrs]]-BA$4&gt;=1,
          IF(OM.Table[[#This Row],[Base.Life.Yrs]]*AnnualizedCostStart-BA$4&gt;=1,0,
              IF(OM.Table[[#This Row],[Base.Life.Yrs]]*AnnualizedCostStart-BA$4&gt;=0,(1-(OM.Table[[#This Row],[Base.Life.Yrs]]*AnnualizedCostStart-BA$4))*OM.Table[[#This Row],[Base.Total.Cost]]/OM.Table[[#This Row],[Base.Life.Yrs]],OM.Table[[#This Row],[Base.Total.Cost]]/OM.Table[[#This Row],[Base.Life.Yrs]])),
      IF(OM.Table[[#This Row],[Measure.Life.Yrs]]-BA$4&gt;0,
          MIN(OM.Table[[#This Row],[Measure.Life.Yrs]]-BA$4,OM.Table[[#This Row],[Measure.Life.Yrs]]-OM.Table[[#This Row],[Base.Life.Yrs]]*AnnualizedCostStart)*OM.Table[[#This Row],[Base.Total.Cost]]/OM.Table[[#This Row],[Base.Life.Yrs]],0)))</f>
        <v>1.8730199999999999</v>
      </c>
      <c r="BB40" s="12">
        <f>IF(OM.Table[[#This Row],[Measure.Life.Yrs]]-BB$4&lt;=0,0,
      IF(OM.Table[[#This Row],[Measure.Life.Yrs]]-BB$4&gt;=1,
          IF(OM.Table[[#This Row],[Base.Life.Yrs]]*AnnualizedCostStart-BB$4&gt;=1,0,
              IF(OM.Table[[#This Row],[Base.Life.Yrs]]*AnnualizedCostStart-BB$4&gt;=0,(1-(OM.Table[[#This Row],[Base.Life.Yrs]]*AnnualizedCostStart-BB$4))*OM.Table[[#This Row],[Base.Total.Cost]]/OM.Table[[#This Row],[Base.Life.Yrs]],OM.Table[[#This Row],[Base.Total.Cost]]/OM.Table[[#This Row],[Base.Life.Yrs]])),
      IF(OM.Table[[#This Row],[Measure.Life.Yrs]]-BB$4&gt;0,
          MIN(OM.Table[[#This Row],[Measure.Life.Yrs]]-BB$4,OM.Table[[#This Row],[Measure.Life.Yrs]]-OM.Table[[#This Row],[Base.Life.Yrs]]*AnnualizedCostStart)*OM.Table[[#This Row],[Base.Total.Cost]]/OM.Table[[#This Row],[Base.Life.Yrs]],0)))</f>
        <v>1.8730199999999999</v>
      </c>
      <c r="BC40" s="12">
        <f>IF(OM.Table[[#This Row],[Measure.Life.Yrs]]-BC$4&lt;=0,0,
      IF(OM.Table[[#This Row],[Measure.Life.Yrs]]-BC$4&gt;=1,
          IF(OM.Table[[#This Row],[Base.Life.Yrs]]*AnnualizedCostStart-BC$4&gt;=1,0,
              IF(OM.Table[[#This Row],[Base.Life.Yrs]]*AnnualizedCostStart-BC$4&gt;=0,(1-(OM.Table[[#This Row],[Base.Life.Yrs]]*AnnualizedCostStart-BC$4))*OM.Table[[#This Row],[Base.Total.Cost]]/OM.Table[[#This Row],[Base.Life.Yrs]],OM.Table[[#This Row],[Base.Total.Cost]]/OM.Table[[#This Row],[Base.Life.Yrs]])),
      IF(OM.Table[[#This Row],[Measure.Life.Yrs]]-BC$4&gt;0,
          MIN(OM.Table[[#This Row],[Measure.Life.Yrs]]-BC$4,OM.Table[[#This Row],[Measure.Life.Yrs]]-OM.Table[[#This Row],[Base.Life.Yrs]]*AnnualizedCostStart)*OM.Table[[#This Row],[Base.Total.Cost]]/OM.Table[[#This Row],[Base.Life.Yrs]],0)))</f>
        <v>1.8730199999999999</v>
      </c>
      <c r="BD40" s="12">
        <f>IF(OM.Table[[#This Row],[Measure.Life.Yrs]]-BD$4&lt;=0,0,
      IF(OM.Table[[#This Row],[Measure.Life.Yrs]]-BD$4&gt;=1,
          IF(OM.Table[[#This Row],[Base.Life.Yrs]]*AnnualizedCostStart-BD$4&gt;=1,0,
              IF(OM.Table[[#This Row],[Base.Life.Yrs]]*AnnualizedCostStart-BD$4&gt;=0,(1-(OM.Table[[#This Row],[Base.Life.Yrs]]*AnnualizedCostStart-BD$4))*OM.Table[[#This Row],[Base.Total.Cost]]/OM.Table[[#This Row],[Base.Life.Yrs]],OM.Table[[#This Row],[Base.Total.Cost]]/OM.Table[[#This Row],[Base.Life.Yrs]])),
      IF(OM.Table[[#This Row],[Measure.Life.Yrs]]-BD$4&gt;0,
          MIN(OM.Table[[#This Row],[Measure.Life.Yrs]]-BD$4,OM.Table[[#This Row],[Measure.Life.Yrs]]-OM.Table[[#This Row],[Base.Life.Yrs]]*AnnualizedCostStart)*OM.Table[[#This Row],[Base.Total.Cost]]/OM.Table[[#This Row],[Base.Life.Yrs]],0)))</f>
        <v>1.8730199999999999</v>
      </c>
      <c r="BE40" s="12">
        <f>IF(OM.Table[[#This Row],[Measure.Life.Yrs]]-BE$4&lt;=0,0,
      IF(OM.Table[[#This Row],[Measure.Life.Yrs]]-BE$4&gt;=1,
          IF(OM.Table[[#This Row],[Base.Life.Yrs]]*AnnualizedCostStart-BE$4&gt;=1,0,
              IF(OM.Table[[#This Row],[Base.Life.Yrs]]*AnnualizedCostStart-BE$4&gt;=0,(1-(OM.Table[[#This Row],[Base.Life.Yrs]]*AnnualizedCostStart-BE$4))*OM.Table[[#This Row],[Base.Total.Cost]]/OM.Table[[#This Row],[Base.Life.Yrs]],OM.Table[[#This Row],[Base.Total.Cost]]/OM.Table[[#This Row],[Base.Life.Yrs]])),
      IF(OM.Table[[#This Row],[Measure.Life.Yrs]]-BE$4&gt;0,
          MIN(OM.Table[[#This Row],[Measure.Life.Yrs]]-BE$4,OM.Table[[#This Row],[Measure.Life.Yrs]]-OM.Table[[#This Row],[Base.Life.Yrs]]*AnnualizedCostStart)*OM.Table[[#This Row],[Base.Total.Cost]]/OM.Table[[#This Row],[Base.Life.Yrs]],0)))</f>
        <v>1.8730199999999999</v>
      </c>
      <c r="BF40" s="12">
        <f>IF(OM.Table[[#This Row],[Measure.Life.Yrs]]-BF$4&lt;=0,0,
      IF(OM.Table[[#This Row],[Measure.Life.Yrs]]-BF$4&gt;=1,
          IF(OM.Table[[#This Row],[Base.Life.Yrs]]*AnnualizedCostStart-BF$4&gt;=1,0,
              IF(OM.Table[[#This Row],[Base.Life.Yrs]]*AnnualizedCostStart-BF$4&gt;=0,(1-(OM.Table[[#This Row],[Base.Life.Yrs]]*AnnualizedCostStart-BF$4))*OM.Table[[#This Row],[Base.Total.Cost]]/OM.Table[[#This Row],[Base.Life.Yrs]],OM.Table[[#This Row],[Base.Total.Cost]]/OM.Table[[#This Row],[Base.Life.Yrs]])),
      IF(OM.Table[[#This Row],[Measure.Life.Yrs]]-BF$4&gt;0,
          MIN(OM.Table[[#This Row],[Measure.Life.Yrs]]-BF$4,OM.Table[[#This Row],[Measure.Life.Yrs]]-OM.Table[[#This Row],[Base.Life.Yrs]]*AnnualizedCostStart)*OM.Table[[#This Row],[Base.Total.Cost]]/OM.Table[[#This Row],[Base.Life.Yrs]],0)))</f>
        <v>1.8730199999999999</v>
      </c>
      <c r="BG40" s="12">
        <f>IF(OM.Table[[#This Row],[Measure.Life.Yrs]]-BG$4&lt;=0,0,
      IF(OM.Table[[#This Row],[Measure.Life.Yrs]]-BG$4&gt;=1,
          IF(OM.Table[[#This Row],[Base.Life.Yrs]]*AnnualizedCostStart-BG$4&gt;=1,0,
              IF(OM.Table[[#This Row],[Base.Life.Yrs]]*AnnualizedCostStart-BG$4&gt;=0,(1-(OM.Table[[#This Row],[Base.Life.Yrs]]*AnnualizedCostStart-BG$4))*OM.Table[[#This Row],[Base.Total.Cost]]/OM.Table[[#This Row],[Base.Life.Yrs]],OM.Table[[#This Row],[Base.Total.Cost]]/OM.Table[[#This Row],[Base.Life.Yrs]])),
      IF(OM.Table[[#This Row],[Measure.Life.Yrs]]-BG$4&gt;0,
          MIN(OM.Table[[#This Row],[Measure.Life.Yrs]]-BG$4,OM.Table[[#This Row],[Measure.Life.Yrs]]-OM.Table[[#This Row],[Base.Life.Yrs]]*AnnualizedCostStart)*OM.Table[[#This Row],[Base.Total.Cost]]/OM.Table[[#This Row],[Base.Life.Yrs]],0)))</f>
        <v>1.8730199999999999</v>
      </c>
      <c r="BH40" s="12">
        <f>IF(OM.Table[[#This Row],[Measure.Life.Yrs]]-BH$4&lt;=0,0,
      IF(OM.Table[[#This Row],[Measure.Life.Yrs]]-BH$4&gt;=1,
          IF(OM.Table[[#This Row],[Base.Life.Yrs]]*AnnualizedCostStart-BH$4&gt;=1,0,
              IF(OM.Table[[#This Row],[Base.Life.Yrs]]*AnnualizedCostStart-BH$4&gt;=0,(1-(OM.Table[[#This Row],[Base.Life.Yrs]]*AnnualizedCostStart-BH$4))*OM.Table[[#This Row],[Base.Total.Cost]]/OM.Table[[#This Row],[Base.Life.Yrs]],OM.Table[[#This Row],[Base.Total.Cost]]/OM.Table[[#This Row],[Base.Life.Yrs]])),
      IF(OM.Table[[#This Row],[Measure.Life.Yrs]]-BH$4&gt;0,
          MIN(OM.Table[[#This Row],[Measure.Life.Yrs]]-BH$4,OM.Table[[#This Row],[Measure.Life.Yrs]]-OM.Table[[#This Row],[Base.Life.Yrs]]*AnnualizedCostStart)*OM.Table[[#This Row],[Base.Total.Cost]]/OM.Table[[#This Row],[Base.Life.Yrs]],0)))</f>
        <v>1.8730199999999999</v>
      </c>
      <c r="BI40" s="12">
        <f>IF(OM.Table[[#This Row],[Measure.Life.Yrs]]-BI$4&lt;=0,0,
      IF(OM.Table[[#This Row],[Measure.Life.Yrs]]-BI$4&gt;=1,
          IF(OM.Table[[#This Row],[Base.Life.Yrs]]*AnnualizedCostStart-BI$4&gt;=1,0,
              IF(OM.Table[[#This Row],[Base.Life.Yrs]]*AnnualizedCostStart-BI$4&gt;=0,(1-(OM.Table[[#This Row],[Base.Life.Yrs]]*AnnualizedCostStart-BI$4))*OM.Table[[#This Row],[Base.Total.Cost]]/OM.Table[[#This Row],[Base.Life.Yrs]],OM.Table[[#This Row],[Base.Total.Cost]]/OM.Table[[#This Row],[Base.Life.Yrs]])),
      IF(OM.Table[[#This Row],[Measure.Life.Yrs]]-BI$4&gt;0,
          MIN(OM.Table[[#This Row],[Measure.Life.Yrs]]-BI$4,OM.Table[[#This Row],[Measure.Life.Yrs]]-OM.Table[[#This Row],[Base.Life.Yrs]]*AnnualizedCostStart)*OM.Table[[#This Row],[Base.Total.Cost]]/OM.Table[[#This Row],[Base.Life.Yrs]],0)))</f>
        <v>0.18730199999999933</v>
      </c>
      <c r="BJ40" s="12">
        <f>IF(OM.Table[[#This Row],[Measure.Life.Yrs]]-BJ$4&lt;=0,0,
      IF(OM.Table[[#This Row],[Measure.Life.Yrs]]-BJ$4&gt;=1,
          IF(OM.Table[[#This Row],[Base.Life.Yrs]]*AnnualizedCostStart-BJ$4&gt;=1,0,
              IF(OM.Table[[#This Row],[Base.Life.Yrs]]*AnnualizedCostStart-BJ$4&gt;=0,(1-(OM.Table[[#This Row],[Base.Life.Yrs]]*AnnualizedCostStart-BJ$4))*OM.Table[[#This Row],[Base.Total.Cost]]/OM.Table[[#This Row],[Base.Life.Yrs]],OM.Table[[#This Row],[Base.Total.Cost]]/OM.Table[[#This Row],[Base.Life.Yrs]])),
      IF(OM.Table[[#This Row],[Measure.Life.Yrs]]-BJ$4&gt;0,
          MIN(OM.Table[[#This Row],[Measure.Life.Yrs]]-BJ$4,OM.Table[[#This Row],[Measure.Life.Yrs]]-OM.Table[[#This Row],[Base.Life.Yrs]]*AnnualizedCostStart)*OM.Table[[#This Row],[Base.Total.Cost]]/OM.Table[[#This Row],[Base.Life.Yrs]],0)))</f>
        <v>0</v>
      </c>
      <c r="BK40" s="12">
        <f>IF(OM.Table[[#This Row],[Measure.Life.Yrs]]-BK$4&lt;=0,0,
      IF(OM.Table[[#This Row],[Measure.Life.Yrs]]-BK$4&gt;=1,
          IF(OM.Table[[#This Row],[Base.Life.Yrs]]*AnnualizedCostStart-BK$4&gt;=1,0,
              IF(OM.Table[[#This Row],[Base.Life.Yrs]]*AnnualizedCostStart-BK$4&gt;=0,(1-(OM.Table[[#This Row],[Base.Life.Yrs]]*AnnualizedCostStart-BK$4))*OM.Table[[#This Row],[Base.Total.Cost]]/OM.Table[[#This Row],[Base.Life.Yrs]],OM.Table[[#This Row],[Base.Total.Cost]]/OM.Table[[#This Row],[Base.Life.Yrs]])),
      IF(OM.Table[[#This Row],[Measure.Life.Yrs]]-BK$4&gt;0,
          MIN(OM.Table[[#This Row],[Measure.Life.Yrs]]-BK$4,OM.Table[[#This Row],[Measure.Life.Yrs]]-OM.Table[[#This Row],[Base.Life.Yrs]]*AnnualizedCostStart)*OM.Table[[#This Row],[Base.Total.Cost]]/OM.Table[[#This Row],[Base.Life.Yrs]],0)))</f>
        <v>0</v>
      </c>
      <c r="BL40" s="12">
        <f>IF(OM.Table[[#This Row],[Measure.Life.Yrs]]-BL$4&lt;=0,0,
      IF(OM.Table[[#This Row],[Measure.Life.Yrs]]-BL$4&gt;=1,
          IF(OM.Table[[#This Row],[Base.Life.Yrs]]*AnnualizedCostStart-BL$4&gt;=1,0,
              IF(OM.Table[[#This Row],[Base.Life.Yrs]]*AnnualizedCostStart-BL$4&gt;=0,(1-(OM.Table[[#This Row],[Base.Life.Yrs]]*AnnualizedCostStart-BL$4))*OM.Table[[#This Row],[Base.Total.Cost]]/OM.Table[[#This Row],[Base.Life.Yrs]],OM.Table[[#This Row],[Base.Total.Cost]]/OM.Table[[#This Row],[Base.Life.Yrs]])),
      IF(OM.Table[[#This Row],[Measure.Life.Yrs]]-BL$4&gt;0,
          MIN(OM.Table[[#This Row],[Measure.Life.Yrs]]-BL$4,OM.Table[[#This Row],[Measure.Life.Yrs]]-OM.Table[[#This Row],[Base.Life.Yrs]]*AnnualizedCostStart)*OM.Table[[#This Row],[Base.Total.Cost]]/OM.Table[[#This Row],[Base.Life.Yrs]],0)))</f>
        <v>0</v>
      </c>
      <c r="BM40" s="12">
        <f>IF(OM.Table[[#This Row],[Measure.Life.Yrs]]-BM$4&lt;=0,0,
      IF(OM.Table[[#This Row],[Measure.Life.Yrs]]-BM$4&gt;=1,
          IF(OM.Table[[#This Row],[Base.Life.Yrs]]*AnnualizedCostStart-BM$4&gt;=1,0,
              IF(OM.Table[[#This Row],[Base.Life.Yrs]]*AnnualizedCostStart-BM$4&gt;=0,(1-(OM.Table[[#This Row],[Base.Life.Yrs]]*AnnualizedCostStart-BM$4))*OM.Table[[#This Row],[Base.Total.Cost]]/OM.Table[[#This Row],[Base.Life.Yrs]],OM.Table[[#This Row],[Base.Total.Cost]]/OM.Table[[#This Row],[Base.Life.Yrs]])),
      IF(OM.Table[[#This Row],[Measure.Life.Yrs]]-BM$4&gt;0,
          MIN(OM.Table[[#This Row],[Measure.Life.Yrs]]-BM$4,OM.Table[[#This Row],[Measure.Life.Yrs]]-OM.Table[[#This Row],[Base.Life.Yrs]]*AnnualizedCostStart)*OM.Table[[#This Row],[Base.Total.Cost]]/OM.Table[[#This Row],[Base.Life.Yrs]],0)))</f>
        <v>0</v>
      </c>
      <c r="BN40" s="12">
        <f>IF(OM.Table[[#This Row],[Measure.Life.Yrs]]-BN$4&lt;=0,0,
      IF(OM.Table[[#This Row],[Measure.Life.Yrs]]-BN$4&gt;=1,
          IF(OM.Table[[#This Row],[Base.Life.Yrs]]*AnnualizedCostStart-BN$4&gt;=1,0,
              IF(OM.Table[[#This Row],[Base.Life.Yrs]]*AnnualizedCostStart-BN$4&gt;=0,(1-(OM.Table[[#This Row],[Base.Life.Yrs]]*AnnualizedCostStart-BN$4))*OM.Table[[#This Row],[Base.Total.Cost]]/OM.Table[[#This Row],[Base.Life.Yrs]],OM.Table[[#This Row],[Base.Total.Cost]]/OM.Table[[#This Row],[Base.Life.Yrs]])),
      IF(OM.Table[[#This Row],[Measure.Life.Yrs]]-BN$4&gt;0,
          MIN(OM.Table[[#This Row],[Measure.Life.Yrs]]-BN$4,OM.Table[[#This Row],[Measure.Life.Yrs]]-OM.Table[[#This Row],[Base.Life.Yrs]]*AnnualizedCostStart)*OM.Table[[#This Row],[Base.Total.Cost]]/OM.Table[[#This Row],[Base.Life.Yrs]],0)))</f>
        <v>0</v>
      </c>
      <c r="BO40" s="12">
        <f>IF(OM.Table[[#This Row],[Measure.Life.Yrs]]-BO$4&lt;=0,0,
      IF(OM.Table[[#This Row],[Measure.Life.Yrs]]-BO$4&gt;=1,
          IF(OM.Table[[#This Row],[Base.Life.Yrs]]*AnnualizedCostStart-BO$4&gt;=1,0,
              IF(OM.Table[[#This Row],[Base.Life.Yrs]]*AnnualizedCostStart-BO$4&gt;=0,(1-(OM.Table[[#This Row],[Base.Life.Yrs]]*AnnualizedCostStart-BO$4))*OM.Table[[#This Row],[Base.Total.Cost]]/OM.Table[[#This Row],[Base.Life.Yrs]],OM.Table[[#This Row],[Base.Total.Cost]]/OM.Table[[#This Row],[Base.Life.Yrs]])),
      IF(OM.Table[[#This Row],[Measure.Life.Yrs]]-BO$4&gt;0,
          MIN(OM.Table[[#This Row],[Measure.Life.Yrs]]-BO$4,OM.Table[[#This Row],[Measure.Life.Yrs]]-OM.Table[[#This Row],[Base.Life.Yrs]]*AnnualizedCostStart)*OM.Table[[#This Row],[Base.Total.Cost]]/OM.Table[[#This Row],[Base.Life.Yrs]],0)))</f>
        <v>0</v>
      </c>
      <c r="BP40" s="12">
        <f>IF(OM.Table[[#This Row],[Measure.Life.Yrs]]-BP$4&lt;=0,0,
      IF(OM.Table[[#This Row],[Measure.Life.Yrs]]-BP$4&gt;=1,
          IF(OM.Table[[#This Row],[Base.Life.Yrs]]*AnnualizedCostStart-BP$4&gt;=1,0,
              IF(OM.Table[[#This Row],[Base.Life.Yrs]]*AnnualizedCostStart-BP$4&gt;=0,(1-(OM.Table[[#This Row],[Base.Life.Yrs]]*AnnualizedCostStart-BP$4))*OM.Table[[#This Row],[Base.Total.Cost]]/OM.Table[[#This Row],[Base.Life.Yrs]],OM.Table[[#This Row],[Base.Total.Cost]]/OM.Table[[#This Row],[Base.Life.Yrs]])),
      IF(OM.Table[[#This Row],[Measure.Life.Yrs]]-BP$4&gt;0,
          MIN(OM.Table[[#This Row],[Measure.Life.Yrs]]-BP$4,OM.Table[[#This Row],[Measure.Life.Yrs]]-OM.Table[[#This Row],[Base.Life.Yrs]]*AnnualizedCostStart)*OM.Table[[#This Row],[Base.Total.Cost]]/OM.Table[[#This Row],[Base.Life.Yrs]],0)))</f>
        <v>0</v>
      </c>
      <c r="BQ40" s="12">
        <f>IF(OM.Table[[#This Row],[Measure.Life.Yrs]]-BQ$4&lt;=0,0,
      IF(OM.Table[[#This Row],[Measure.Life.Yrs]]-BQ$4&gt;=1,
          IF(OM.Table[[#This Row],[Base.Life.Yrs]]*AnnualizedCostStart-BQ$4&gt;=1,0,
              IF(OM.Table[[#This Row],[Base.Life.Yrs]]*AnnualizedCostStart-BQ$4&gt;=0,(1-(OM.Table[[#This Row],[Base.Life.Yrs]]*AnnualizedCostStart-BQ$4))*OM.Table[[#This Row],[Base.Total.Cost]]/OM.Table[[#This Row],[Base.Life.Yrs]],OM.Table[[#This Row],[Base.Total.Cost]]/OM.Table[[#This Row],[Base.Life.Yrs]])),
      IF(OM.Table[[#This Row],[Measure.Life.Yrs]]-BQ$4&gt;0,
          MIN(OM.Table[[#This Row],[Measure.Life.Yrs]]-BQ$4,OM.Table[[#This Row],[Measure.Life.Yrs]]-OM.Table[[#This Row],[Base.Life.Yrs]]*AnnualizedCostStart)*OM.Table[[#This Row],[Base.Total.Cost]]/OM.Table[[#This Row],[Base.Life.Yrs]],0)))</f>
        <v>0</v>
      </c>
      <c r="BR40" s="12">
        <f>IF(OM.Table[[#This Row],[Measure.Life.Yrs]]-BR$4&lt;=0,0,
      IF(OM.Table[[#This Row],[Measure.Life.Yrs]]-BR$4&gt;=1,
          IF(OM.Table[[#This Row],[Base.Life.Yrs]]*AnnualizedCostStart-BR$4&gt;=1,0,
              IF(OM.Table[[#This Row],[Base.Life.Yrs]]*AnnualizedCostStart-BR$4&gt;=0,(1-(OM.Table[[#This Row],[Base.Life.Yrs]]*AnnualizedCostStart-BR$4))*OM.Table[[#This Row],[Base.Total.Cost]]/OM.Table[[#This Row],[Base.Life.Yrs]],OM.Table[[#This Row],[Base.Total.Cost]]/OM.Table[[#This Row],[Base.Life.Yrs]])),
      IF(OM.Table[[#This Row],[Measure.Life.Yrs]]-BR$4&gt;0,
          MIN(OM.Table[[#This Row],[Measure.Life.Yrs]]-BR$4,OM.Table[[#This Row],[Measure.Life.Yrs]]-OM.Table[[#This Row],[Base.Life.Yrs]]*AnnualizedCostStart)*OM.Table[[#This Row],[Base.Total.Cost]]/OM.Table[[#This Row],[Base.Life.Yrs]],0)))</f>
        <v>0</v>
      </c>
      <c r="BS40" s="12">
        <f>IF(OM.Table[[#This Row],[Measure.Life.Yrs]]-BS$4&lt;=0,0,
      IF(OM.Table[[#This Row],[Measure.Life.Yrs]]-BS$4&gt;=1,
          IF(OM.Table[[#This Row],[Base.Life.Yrs]]*AnnualizedCostStart-BS$4&gt;=1,0,
              IF(OM.Table[[#This Row],[Base.Life.Yrs]]*AnnualizedCostStart-BS$4&gt;=0,(1-(OM.Table[[#This Row],[Base.Life.Yrs]]*AnnualizedCostStart-BS$4))*OM.Table[[#This Row],[Base.Total.Cost]]/OM.Table[[#This Row],[Base.Life.Yrs]],OM.Table[[#This Row],[Base.Total.Cost]]/OM.Table[[#This Row],[Base.Life.Yrs]])),
      IF(OM.Table[[#This Row],[Measure.Life.Yrs]]-BS$4&gt;0,
          MIN(OM.Table[[#This Row],[Measure.Life.Yrs]]-BS$4,OM.Table[[#This Row],[Measure.Life.Yrs]]-OM.Table[[#This Row],[Base.Life.Yrs]]*AnnualizedCostStart)*OM.Table[[#This Row],[Base.Total.Cost]]/OM.Table[[#This Row],[Base.Life.Yrs]],0)))</f>
        <v>0</v>
      </c>
      <c r="BT40" s="12">
        <f>IF(OM.Table[[#This Row],[Measure.Life.Yrs]]-BT$4&lt;=0,0,
      IF(OM.Table[[#This Row],[Measure.Life.Yrs]]-BT$4&gt;=1,
          IF(OM.Table[[#This Row],[Base.Life.Yrs]]*AnnualizedCostStart-BT$4&gt;=1,0,
              IF(OM.Table[[#This Row],[Base.Life.Yrs]]*AnnualizedCostStart-BT$4&gt;=0,(1-(OM.Table[[#This Row],[Base.Life.Yrs]]*AnnualizedCostStart-BT$4))*OM.Table[[#This Row],[Base.Total.Cost]]/OM.Table[[#This Row],[Base.Life.Yrs]],OM.Table[[#This Row],[Base.Total.Cost]]/OM.Table[[#This Row],[Base.Life.Yrs]])),
      IF(OM.Table[[#This Row],[Measure.Life.Yrs]]-BT$4&gt;0,
          MIN(OM.Table[[#This Row],[Measure.Life.Yrs]]-BT$4,OM.Table[[#This Row],[Measure.Life.Yrs]]-OM.Table[[#This Row],[Base.Life.Yrs]]*AnnualizedCostStart)*OM.Table[[#This Row],[Base.Total.Cost]]/OM.Table[[#This Row],[Base.Life.Yrs]],0)))</f>
        <v>0</v>
      </c>
      <c r="BU40" s="92">
        <f>IF(ISNUMBER(OM.Table[[#This Row],[Base.Shift.Year]]),IF(OM.Table[[#This Row],[Measure.Life.Yrs]]-BU$4&lt;=0,0,
      IF(OM.Table[[#This Row],[Measure.Life.Yrs]]-BU$4&gt;=1,
          IF(OM.Table[[#This Row],[2nd.Base.Life.Yrs]]*AnnualizedCostStart-BU$4&gt;=1,0,
              IF(OM.Table[[#This Row],[2nd.Base.Life.Yrs]]*AnnualizedCostStart-BU$4&gt;=0,(1-(OM.Table[[#This Row],[2nd.Base.Life.Yrs]]*AnnualizedCostStart-BU$4))*OM.Table[[#This Row],[2nd.Base.Total.Cost]]/OM.Table[[#This Row],[2nd.Base.Life.Yrs]],OM.Table[[#This Row],[2nd.Base.Total.Cost]]/OM.Table[[#This Row],[2nd.Base.Life.Yrs]])),
      IF(OM.Table[[#This Row],[Measure.Life.Yrs]]-BU$4&gt;0,
          MIN(OM.Table[[#This Row],[Measure.Life.Yrs]]-BU$4,OM.Table[[#This Row],[Measure.Life.Yrs]]-OM.Table[[#This Row],[2nd.Base.Life.Yrs]]*AnnualizedCostStart)*OM.Table[[#This Row],[2nd.Base.Total.Cost]]/OM.Table[[#This Row],[2nd.Base.Life.Yrs]],0))),"NA")</f>
        <v>0</v>
      </c>
      <c r="BV40" s="93">
        <f>IF(ISNUMBER(OM.Table[[#This Row],[Base.Shift.Year]]),IF(OM.Table[[#This Row],[Measure.Life.Yrs]]-BV$4&lt;=0,0,
      IF(OM.Table[[#This Row],[Measure.Life.Yrs]]-BV$4&gt;=1,
          IF(OM.Table[[#This Row],[2nd.Base.Life.Yrs]]*AnnualizedCostStart-BV$4&gt;=1,0,
              IF(OM.Table[[#This Row],[2nd.Base.Life.Yrs]]*AnnualizedCostStart-BV$4&gt;=0,(1-(OM.Table[[#This Row],[2nd.Base.Life.Yrs]]*AnnualizedCostStart-BV$4))*OM.Table[[#This Row],[2nd.Base.Total.Cost]]/OM.Table[[#This Row],[2nd.Base.Life.Yrs]],OM.Table[[#This Row],[2nd.Base.Total.Cost]]/OM.Table[[#This Row],[2nd.Base.Life.Yrs]])),
      IF(OM.Table[[#This Row],[Measure.Life.Yrs]]-BV$4&gt;0,
          MIN(OM.Table[[#This Row],[Measure.Life.Yrs]]-BV$4,OM.Table[[#This Row],[Measure.Life.Yrs]]-OM.Table[[#This Row],[2nd.Base.Life.Yrs]]*AnnualizedCostStart)*OM.Table[[#This Row],[2nd.Base.Total.Cost]]/OM.Table[[#This Row],[2nd.Base.Life.Yrs]],0))),"NA")</f>
        <v>0</v>
      </c>
      <c r="BW40" s="93">
        <f>IF(ISNUMBER(OM.Table[[#This Row],[Base.Shift.Year]]),IF(OM.Table[[#This Row],[Measure.Life.Yrs]]-BW$4&lt;=0,0,
      IF(OM.Table[[#This Row],[Measure.Life.Yrs]]-BW$4&gt;=1,
          IF(OM.Table[[#This Row],[2nd.Base.Life.Yrs]]*AnnualizedCostStart-BW$4&gt;=1,0,
              IF(OM.Table[[#This Row],[2nd.Base.Life.Yrs]]*AnnualizedCostStart-BW$4&gt;=0,(1-(OM.Table[[#This Row],[2nd.Base.Life.Yrs]]*AnnualizedCostStart-BW$4))*OM.Table[[#This Row],[2nd.Base.Total.Cost]]/OM.Table[[#This Row],[2nd.Base.Life.Yrs]],OM.Table[[#This Row],[2nd.Base.Total.Cost]]/OM.Table[[#This Row],[2nd.Base.Life.Yrs]])),
      IF(OM.Table[[#This Row],[Measure.Life.Yrs]]-BW$4&gt;0,
          MIN(OM.Table[[#This Row],[Measure.Life.Yrs]]-BW$4,OM.Table[[#This Row],[Measure.Life.Yrs]]-OM.Table[[#This Row],[2nd.Base.Life.Yrs]]*AnnualizedCostStart)*OM.Table[[#This Row],[2nd.Base.Total.Cost]]/OM.Table[[#This Row],[2nd.Base.Life.Yrs]],0))),"NA")</f>
        <v>1.1517999999999997</v>
      </c>
      <c r="BX40" s="93">
        <f>IF(ISNUMBER(OM.Table[[#This Row],[Base.Shift.Year]]),IF(OM.Table[[#This Row],[Measure.Life.Yrs]]-BX$4&lt;=0,0,
      IF(OM.Table[[#This Row],[Measure.Life.Yrs]]-BX$4&gt;=1,
          IF(OM.Table[[#This Row],[2nd.Base.Life.Yrs]]*AnnualizedCostStart-BX$4&gt;=1,0,
              IF(OM.Table[[#This Row],[2nd.Base.Life.Yrs]]*AnnualizedCostStart-BX$4&gt;=0,(1-(OM.Table[[#This Row],[2nd.Base.Life.Yrs]]*AnnualizedCostStart-BX$4))*OM.Table[[#This Row],[2nd.Base.Total.Cost]]/OM.Table[[#This Row],[2nd.Base.Life.Yrs]],OM.Table[[#This Row],[2nd.Base.Total.Cost]]/OM.Table[[#This Row],[2nd.Base.Life.Yrs]])),
      IF(OM.Table[[#This Row],[Measure.Life.Yrs]]-BX$4&gt;0,
          MIN(OM.Table[[#This Row],[Measure.Life.Yrs]]-BX$4,OM.Table[[#This Row],[Measure.Life.Yrs]]-OM.Table[[#This Row],[2nd.Base.Life.Yrs]]*AnnualizedCostStart)*OM.Table[[#This Row],[2nd.Base.Total.Cost]]/OM.Table[[#This Row],[2nd.Base.Life.Yrs]],0))),"NA")</f>
        <v>1.4239333333333333</v>
      </c>
      <c r="BY40" s="93">
        <f>IF(ISNUMBER(OM.Table[[#This Row],[Base.Shift.Year]]),IF(OM.Table[[#This Row],[Measure.Life.Yrs]]-BY$4&lt;=0,0,
      IF(OM.Table[[#This Row],[Measure.Life.Yrs]]-BY$4&gt;=1,
          IF(OM.Table[[#This Row],[2nd.Base.Life.Yrs]]*AnnualizedCostStart-BY$4&gt;=1,0,
              IF(OM.Table[[#This Row],[2nd.Base.Life.Yrs]]*AnnualizedCostStart-BY$4&gt;=0,(1-(OM.Table[[#This Row],[2nd.Base.Life.Yrs]]*AnnualizedCostStart-BY$4))*OM.Table[[#This Row],[2nd.Base.Total.Cost]]/OM.Table[[#This Row],[2nd.Base.Life.Yrs]],OM.Table[[#This Row],[2nd.Base.Total.Cost]]/OM.Table[[#This Row],[2nd.Base.Life.Yrs]])),
      IF(OM.Table[[#This Row],[Measure.Life.Yrs]]-BY$4&gt;0,
          MIN(OM.Table[[#This Row],[Measure.Life.Yrs]]-BY$4,OM.Table[[#This Row],[Measure.Life.Yrs]]-OM.Table[[#This Row],[2nd.Base.Life.Yrs]]*AnnualizedCostStart)*OM.Table[[#This Row],[2nd.Base.Total.Cost]]/OM.Table[[#This Row],[2nd.Base.Life.Yrs]],0))),"NA")</f>
        <v>1.4239333333333333</v>
      </c>
      <c r="BZ40" s="93">
        <f>IF(ISNUMBER(OM.Table[[#This Row],[Base.Shift.Year]]),IF(OM.Table[[#This Row],[Measure.Life.Yrs]]-BZ$4&lt;=0,0,
      IF(OM.Table[[#This Row],[Measure.Life.Yrs]]-BZ$4&gt;=1,
          IF(OM.Table[[#This Row],[2nd.Base.Life.Yrs]]*AnnualizedCostStart-BZ$4&gt;=1,0,
              IF(OM.Table[[#This Row],[2nd.Base.Life.Yrs]]*AnnualizedCostStart-BZ$4&gt;=0,(1-(OM.Table[[#This Row],[2nd.Base.Life.Yrs]]*AnnualizedCostStart-BZ$4))*OM.Table[[#This Row],[2nd.Base.Total.Cost]]/OM.Table[[#This Row],[2nd.Base.Life.Yrs]],OM.Table[[#This Row],[2nd.Base.Total.Cost]]/OM.Table[[#This Row],[2nd.Base.Life.Yrs]])),
      IF(OM.Table[[#This Row],[Measure.Life.Yrs]]-BZ$4&gt;0,
          MIN(OM.Table[[#This Row],[Measure.Life.Yrs]]-BZ$4,OM.Table[[#This Row],[Measure.Life.Yrs]]-OM.Table[[#This Row],[2nd.Base.Life.Yrs]]*AnnualizedCostStart)*OM.Table[[#This Row],[2nd.Base.Total.Cost]]/OM.Table[[#This Row],[2nd.Base.Life.Yrs]],0))),"NA")</f>
        <v>1.4239333333333333</v>
      </c>
      <c r="CA40" s="93">
        <f>IF(ISNUMBER(OM.Table[[#This Row],[Base.Shift.Year]]),IF(OM.Table[[#This Row],[Measure.Life.Yrs]]-CA$4&lt;=0,0,
      IF(OM.Table[[#This Row],[Measure.Life.Yrs]]-CA$4&gt;=1,
          IF(OM.Table[[#This Row],[2nd.Base.Life.Yrs]]*AnnualizedCostStart-CA$4&gt;=1,0,
              IF(OM.Table[[#This Row],[2nd.Base.Life.Yrs]]*AnnualizedCostStart-CA$4&gt;=0,(1-(OM.Table[[#This Row],[2nd.Base.Life.Yrs]]*AnnualizedCostStart-CA$4))*OM.Table[[#This Row],[2nd.Base.Total.Cost]]/OM.Table[[#This Row],[2nd.Base.Life.Yrs]],OM.Table[[#This Row],[2nd.Base.Total.Cost]]/OM.Table[[#This Row],[2nd.Base.Life.Yrs]])),
      IF(OM.Table[[#This Row],[Measure.Life.Yrs]]-CA$4&gt;0,
          MIN(OM.Table[[#This Row],[Measure.Life.Yrs]]-CA$4,OM.Table[[#This Row],[Measure.Life.Yrs]]-OM.Table[[#This Row],[2nd.Base.Life.Yrs]]*AnnualizedCostStart)*OM.Table[[#This Row],[2nd.Base.Total.Cost]]/OM.Table[[#This Row],[2nd.Base.Life.Yrs]],0))),"NA")</f>
        <v>1.4239333333333333</v>
      </c>
      <c r="CB40" s="93">
        <f>IF(ISNUMBER(OM.Table[[#This Row],[Base.Shift.Year]]),IF(OM.Table[[#This Row],[Measure.Life.Yrs]]-CB$4&lt;=0,0,
      IF(OM.Table[[#This Row],[Measure.Life.Yrs]]-CB$4&gt;=1,
          IF(OM.Table[[#This Row],[2nd.Base.Life.Yrs]]*AnnualizedCostStart-CB$4&gt;=1,0,
              IF(OM.Table[[#This Row],[2nd.Base.Life.Yrs]]*AnnualizedCostStart-CB$4&gt;=0,(1-(OM.Table[[#This Row],[2nd.Base.Life.Yrs]]*AnnualizedCostStart-CB$4))*OM.Table[[#This Row],[2nd.Base.Total.Cost]]/OM.Table[[#This Row],[2nd.Base.Life.Yrs]],OM.Table[[#This Row],[2nd.Base.Total.Cost]]/OM.Table[[#This Row],[2nd.Base.Life.Yrs]])),
      IF(OM.Table[[#This Row],[Measure.Life.Yrs]]-CB$4&gt;0,
          MIN(OM.Table[[#This Row],[Measure.Life.Yrs]]-CB$4,OM.Table[[#This Row],[Measure.Life.Yrs]]-OM.Table[[#This Row],[2nd.Base.Life.Yrs]]*AnnualizedCostStart)*OM.Table[[#This Row],[2nd.Base.Total.Cost]]/OM.Table[[#This Row],[2nd.Base.Life.Yrs]],0))),"NA")</f>
        <v>1.4239333333333333</v>
      </c>
      <c r="CC40" s="93">
        <f>IF(ISNUMBER(OM.Table[[#This Row],[Base.Shift.Year]]),IF(OM.Table[[#This Row],[Measure.Life.Yrs]]-CC$4&lt;=0,0,
      IF(OM.Table[[#This Row],[Measure.Life.Yrs]]-CC$4&gt;=1,
          IF(OM.Table[[#This Row],[2nd.Base.Life.Yrs]]*AnnualizedCostStart-CC$4&gt;=1,0,
              IF(OM.Table[[#This Row],[2nd.Base.Life.Yrs]]*AnnualizedCostStart-CC$4&gt;=0,(1-(OM.Table[[#This Row],[2nd.Base.Life.Yrs]]*AnnualizedCostStart-CC$4))*OM.Table[[#This Row],[2nd.Base.Total.Cost]]/OM.Table[[#This Row],[2nd.Base.Life.Yrs]],OM.Table[[#This Row],[2nd.Base.Total.Cost]]/OM.Table[[#This Row],[2nd.Base.Life.Yrs]])),
      IF(OM.Table[[#This Row],[Measure.Life.Yrs]]-CC$4&gt;0,
          MIN(OM.Table[[#This Row],[Measure.Life.Yrs]]-CC$4,OM.Table[[#This Row],[Measure.Life.Yrs]]-OM.Table[[#This Row],[2nd.Base.Life.Yrs]]*AnnualizedCostStart)*OM.Table[[#This Row],[2nd.Base.Total.Cost]]/OM.Table[[#This Row],[2nd.Base.Life.Yrs]],0))),"NA")</f>
        <v>1.4239333333333333</v>
      </c>
      <c r="CD40" s="93">
        <f>IF(ISNUMBER(OM.Table[[#This Row],[Base.Shift.Year]]),IF(OM.Table[[#This Row],[Measure.Life.Yrs]]-CD$4&lt;=0,0,
      IF(OM.Table[[#This Row],[Measure.Life.Yrs]]-CD$4&gt;=1,
          IF(OM.Table[[#This Row],[2nd.Base.Life.Yrs]]*AnnualizedCostStart-CD$4&gt;=1,0,
              IF(OM.Table[[#This Row],[2nd.Base.Life.Yrs]]*AnnualizedCostStart-CD$4&gt;=0,(1-(OM.Table[[#This Row],[2nd.Base.Life.Yrs]]*AnnualizedCostStart-CD$4))*OM.Table[[#This Row],[2nd.Base.Total.Cost]]/OM.Table[[#This Row],[2nd.Base.Life.Yrs]],OM.Table[[#This Row],[2nd.Base.Total.Cost]]/OM.Table[[#This Row],[2nd.Base.Life.Yrs]])),
      IF(OM.Table[[#This Row],[Measure.Life.Yrs]]-CD$4&gt;0,
          MIN(OM.Table[[#This Row],[Measure.Life.Yrs]]-CD$4,OM.Table[[#This Row],[Measure.Life.Yrs]]-OM.Table[[#This Row],[2nd.Base.Life.Yrs]]*AnnualizedCostStart)*OM.Table[[#This Row],[2nd.Base.Total.Cost]]/OM.Table[[#This Row],[2nd.Base.Life.Yrs]],0))),"NA")</f>
        <v>0.14239333333333282</v>
      </c>
      <c r="CE40" s="93">
        <f>IF(ISNUMBER(OM.Table[[#This Row],[Base.Shift.Year]]),IF(OM.Table[[#This Row],[Measure.Life.Yrs]]-CE$4&lt;=0,0,
      IF(OM.Table[[#This Row],[Measure.Life.Yrs]]-CE$4&gt;=1,
          IF(OM.Table[[#This Row],[2nd.Base.Life.Yrs]]*AnnualizedCostStart-CE$4&gt;=1,0,
              IF(OM.Table[[#This Row],[2nd.Base.Life.Yrs]]*AnnualizedCostStart-CE$4&gt;=0,(1-(OM.Table[[#This Row],[2nd.Base.Life.Yrs]]*AnnualizedCostStart-CE$4))*OM.Table[[#This Row],[2nd.Base.Total.Cost]]/OM.Table[[#This Row],[2nd.Base.Life.Yrs]],OM.Table[[#This Row],[2nd.Base.Total.Cost]]/OM.Table[[#This Row],[2nd.Base.Life.Yrs]])),
      IF(OM.Table[[#This Row],[Measure.Life.Yrs]]-CE$4&gt;0,
          MIN(OM.Table[[#This Row],[Measure.Life.Yrs]]-CE$4,OM.Table[[#This Row],[Measure.Life.Yrs]]-OM.Table[[#This Row],[2nd.Base.Life.Yrs]]*AnnualizedCostStart)*OM.Table[[#This Row],[2nd.Base.Total.Cost]]/OM.Table[[#This Row],[2nd.Base.Life.Yrs]],0))),"NA")</f>
        <v>0</v>
      </c>
      <c r="CF40" s="93">
        <f>IF(ISNUMBER(OM.Table[[#This Row],[Base.Shift.Year]]),IF(OM.Table[[#This Row],[Measure.Life.Yrs]]-CF$4&lt;=0,0,
      IF(OM.Table[[#This Row],[Measure.Life.Yrs]]-CF$4&gt;=1,
          IF(OM.Table[[#This Row],[2nd.Base.Life.Yrs]]*AnnualizedCostStart-CF$4&gt;=1,0,
              IF(OM.Table[[#This Row],[2nd.Base.Life.Yrs]]*AnnualizedCostStart-CF$4&gt;=0,(1-(OM.Table[[#This Row],[2nd.Base.Life.Yrs]]*AnnualizedCostStart-CF$4))*OM.Table[[#This Row],[2nd.Base.Total.Cost]]/OM.Table[[#This Row],[2nd.Base.Life.Yrs]],OM.Table[[#This Row],[2nd.Base.Total.Cost]]/OM.Table[[#This Row],[2nd.Base.Life.Yrs]])),
      IF(OM.Table[[#This Row],[Measure.Life.Yrs]]-CF$4&gt;0,
          MIN(OM.Table[[#This Row],[Measure.Life.Yrs]]-CF$4,OM.Table[[#This Row],[Measure.Life.Yrs]]-OM.Table[[#This Row],[2nd.Base.Life.Yrs]]*AnnualizedCostStart)*OM.Table[[#This Row],[2nd.Base.Total.Cost]]/OM.Table[[#This Row],[2nd.Base.Life.Yrs]],0))),"NA")</f>
        <v>0</v>
      </c>
      <c r="CG40" s="93">
        <f>IF(ISNUMBER(OM.Table[[#This Row],[Base.Shift.Year]]),IF(OM.Table[[#This Row],[Measure.Life.Yrs]]-CG$4&lt;=0,0,
      IF(OM.Table[[#This Row],[Measure.Life.Yrs]]-CG$4&gt;=1,
          IF(OM.Table[[#This Row],[2nd.Base.Life.Yrs]]*AnnualizedCostStart-CG$4&gt;=1,0,
              IF(OM.Table[[#This Row],[2nd.Base.Life.Yrs]]*AnnualizedCostStart-CG$4&gt;=0,(1-(OM.Table[[#This Row],[2nd.Base.Life.Yrs]]*AnnualizedCostStart-CG$4))*OM.Table[[#This Row],[2nd.Base.Total.Cost]]/OM.Table[[#This Row],[2nd.Base.Life.Yrs]],OM.Table[[#This Row],[2nd.Base.Total.Cost]]/OM.Table[[#This Row],[2nd.Base.Life.Yrs]])),
      IF(OM.Table[[#This Row],[Measure.Life.Yrs]]-CG$4&gt;0,
          MIN(OM.Table[[#This Row],[Measure.Life.Yrs]]-CG$4,OM.Table[[#This Row],[Measure.Life.Yrs]]-OM.Table[[#This Row],[2nd.Base.Life.Yrs]]*AnnualizedCostStart)*OM.Table[[#This Row],[2nd.Base.Total.Cost]]/OM.Table[[#This Row],[2nd.Base.Life.Yrs]],0))),"NA")</f>
        <v>0</v>
      </c>
      <c r="CH40" s="93">
        <f>IF(ISNUMBER(OM.Table[[#This Row],[Base.Shift.Year]]),IF(OM.Table[[#This Row],[Measure.Life.Yrs]]-CH$4&lt;=0,0,
      IF(OM.Table[[#This Row],[Measure.Life.Yrs]]-CH$4&gt;=1,
          IF(OM.Table[[#This Row],[2nd.Base.Life.Yrs]]*AnnualizedCostStart-CH$4&gt;=1,0,
              IF(OM.Table[[#This Row],[2nd.Base.Life.Yrs]]*AnnualizedCostStart-CH$4&gt;=0,(1-(OM.Table[[#This Row],[2nd.Base.Life.Yrs]]*AnnualizedCostStart-CH$4))*OM.Table[[#This Row],[2nd.Base.Total.Cost]]/OM.Table[[#This Row],[2nd.Base.Life.Yrs]],OM.Table[[#This Row],[2nd.Base.Total.Cost]]/OM.Table[[#This Row],[2nd.Base.Life.Yrs]])),
      IF(OM.Table[[#This Row],[Measure.Life.Yrs]]-CH$4&gt;0,
          MIN(OM.Table[[#This Row],[Measure.Life.Yrs]]-CH$4,OM.Table[[#This Row],[Measure.Life.Yrs]]-OM.Table[[#This Row],[2nd.Base.Life.Yrs]]*AnnualizedCostStart)*OM.Table[[#This Row],[2nd.Base.Total.Cost]]/OM.Table[[#This Row],[2nd.Base.Life.Yrs]],0))),"NA")</f>
        <v>0</v>
      </c>
      <c r="CI40" s="93">
        <f>IF(ISNUMBER(OM.Table[[#This Row],[Base.Shift.Year]]),IF(OM.Table[[#This Row],[Measure.Life.Yrs]]-CI$4&lt;=0,0,
      IF(OM.Table[[#This Row],[Measure.Life.Yrs]]-CI$4&gt;=1,
          IF(OM.Table[[#This Row],[2nd.Base.Life.Yrs]]*AnnualizedCostStart-CI$4&gt;=1,0,
              IF(OM.Table[[#This Row],[2nd.Base.Life.Yrs]]*AnnualizedCostStart-CI$4&gt;=0,(1-(OM.Table[[#This Row],[2nd.Base.Life.Yrs]]*AnnualizedCostStart-CI$4))*OM.Table[[#This Row],[2nd.Base.Total.Cost]]/OM.Table[[#This Row],[2nd.Base.Life.Yrs]],OM.Table[[#This Row],[2nd.Base.Total.Cost]]/OM.Table[[#This Row],[2nd.Base.Life.Yrs]])),
      IF(OM.Table[[#This Row],[Measure.Life.Yrs]]-CI$4&gt;0,
          MIN(OM.Table[[#This Row],[Measure.Life.Yrs]]-CI$4,OM.Table[[#This Row],[Measure.Life.Yrs]]-OM.Table[[#This Row],[2nd.Base.Life.Yrs]]*AnnualizedCostStart)*OM.Table[[#This Row],[2nd.Base.Total.Cost]]/OM.Table[[#This Row],[2nd.Base.Life.Yrs]],0))),"NA")</f>
        <v>0</v>
      </c>
      <c r="CJ40" s="93">
        <f>IF(ISNUMBER(OM.Table[[#This Row],[Base.Shift.Year]]),IF(OM.Table[[#This Row],[Measure.Life.Yrs]]-CJ$4&lt;=0,0,
      IF(OM.Table[[#This Row],[Measure.Life.Yrs]]-CJ$4&gt;=1,
          IF(OM.Table[[#This Row],[2nd.Base.Life.Yrs]]*AnnualizedCostStart-CJ$4&gt;=1,0,
              IF(OM.Table[[#This Row],[2nd.Base.Life.Yrs]]*AnnualizedCostStart-CJ$4&gt;=0,(1-(OM.Table[[#This Row],[2nd.Base.Life.Yrs]]*AnnualizedCostStart-CJ$4))*OM.Table[[#This Row],[2nd.Base.Total.Cost]]/OM.Table[[#This Row],[2nd.Base.Life.Yrs]],OM.Table[[#This Row],[2nd.Base.Total.Cost]]/OM.Table[[#This Row],[2nd.Base.Life.Yrs]])),
      IF(OM.Table[[#This Row],[Measure.Life.Yrs]]-CJ$4&gt;0,
          MIN(OM.Table[[#This Row],[Measure.Life.Yrs]]-CJ$4,OM.Table[[#This Row],[Measure.Life.Yrs]]-OM.Table[[#This Row],[2nd.Base.Life.Yrs]]*AnnualizedCostStart)*OM.Table[[#This Row],[2nd.Base.Total.Cost]]/OM.Table[[#This Row],[2nd.Base.Life.Yrs]],0))),"NA")</f>
        <v>0</v>
      </c>
      <c r="CK40" s="93">
        <f>IF(ISNUMBER(OM.Table[[#This Row],[Base.Shift.Year]]),IF(OM.Table[[#This Row],[Measure.Life.Yrs]]-CK$4&lt;=0,0,
      IF(OM.Table[[#This Row],[Measure.Life.Yrs]]-CK$4&gt;=1,
          IF(OM.Table[[#This Row],[2nd.Base.Life.Yrs]]*AnnualizedCostStart-CK$4&gt;=1,0,
              IF(OM.Table[[#This Row],[2nd.Base.Life.Yrs]]*AnnualizedCostStart-CK$4&gt;=0,(1-(OM.Table[[#This Row],[2nd.Base.Life.Yrs]]*AnnualizedCostStart-CK$4))*OM.Table[[#This Row],[2nd.Base.Total.Cost]]/OM.Table[[#This Row],[2nd.Base.Life.Yrs]],OM.Table[[#This Row],[2nd.Base.Total.Cost]]/OM.Table[[#This Row],[2nd.Base.Life.Yrs]])),
      IF(OM.Table[[#This Row],[Measure.Life.Yrs]]-CK$4&gt;0,
          MIN(OM.Table[[#This Row],[Measure.Life.Yrs]]-CK$4,OM.Table[[#This Row],[Measure.Life.Yrs]]-OM.Table[[#This Row],[2nd.Base.Life.Yrs]]*AnnualizedCostStart)*OM.Table[[#This Row],[2nd.Base.Total.Cost]]/OM.Table[[#This Row],[2nd.Base.Life.Yrs]],0))),"NA")</f>
        <v>0</v>
      </c>
      <c r="CL40" s="93">
        <f>IF(ISNUMBER(OM.Table[[#This Row],[Base.Shift.Year]]),IF(OM.Table[[#This Row],[Measure.Life.Yrs]]-CL$4&lt;=0,0,
      IF(OM.Table[[#This Row],[Measure.Life.Yrs]]-CL$4&gt;=1,
          IF(OM.Table[[#This Row],[2nd.Base.Life.Yrs]]*AnnualizedCostStart-CL$4&gt;=1,0,
              IF(OM.Table[[#This Row],[2nd.Base.Life.Yrs]]*AnnualizedCostStart-CL$4&gt;=0,(1-(OM.Table[[#This Row],[2nd.Base.Life.Yrs]]*AnnualizedCostStart-CL$4))*OM.Table[[#This Row],[2nd.Base.Total.Cost]]/OM.Table[[#This Row],[2nd.Base.Life.Yrs]],OM.Table[[#This Row],[2nd.Base.Total.Cost]]/OM.Table[[#This Row],[2nd.Base.Life.Yrs]])),
      IF(OM.Table[[#This Row],[Measure.Life.Yrs]]-CL$4&gt;0,
          MIN(OM.Table[[#This Row],[Measure.Life.Yrs]]-CL$4,OM.Table[[#This Row],[Measure.Life.Yrs]]-OM.Table[[#This Row],[2nd.Base.Life.Yrs]]*AnnualizedCostStart)*OM.Table[[#This Row],[2nd.Base.Total.Cost]]/OM.Table[[#This Row],[2nd.Base.Life.Yrs]],0))),"NA")</f>
        <v>0</v>
      </c>
      <c r="CM40" s="93">
        <f>IF(ISNUMBER(OM.Table[[#This Row],[Base.Shift.Year]]),IF(OM.Table[[#This Row],[Measure.Life.Yrs]]-CM$4&lt;=0,0,
      IF(OM.Table[[#This Row],[Measure.Life.Yrs]]-CM$4&gt;=1,
          IF(OM.Table[[#This Row],[2nd.Base.Life.Yrs]]*AnnualizedCostStart-CM$4&gt;=1,0,
              IF(OM.Table[[#This Row],[2nd.Base.Life.Yrs]]*AnnualizedCostStart-CM$4&gt;=0,(1-(OM.Table[[#This Row],[2nd.Base.Life.Yrs]]*AnnualizedCostStart-CM$4))*OM.Table[[#This Row],[2nd.Base.Total.Cost]]/OM.Table[[#This Row],[2nd.Base.Life.Yrs]],OM.Table[[#This Row],[2nd.Base.Total.Cost]]/OM.Table[[#This Row],[2nd.Base.Life.Yrs]])),
      IF(OM.Table[[#This Row],[Measure.Life.Yrs]]-CM$4&gt;0,
          MIN(OM.Table[[#This Row],[Measure.Life.Yrs]]-CM$4,OM.Table[[#This Row],[Measure.Life.Yrs]]-OM.Table[[#This Row],[2nd.Base.Life.Yrs]]*AnnualizedCostStart)*OM.Table[[#This Row],[2nd.Base.Total.Cost]]/OM.Table[[#This Row],[2nd.Base.Life.Yrs]],0))),"NA")</f>
        <v>0</v>
      </c>
      <c r="CN40" s="93">
        <f>IF(ISNUMBER(OM.Table[[#This Row],[Base.Shift.Year]]),IF(OM.Table[[#This Row],[Measure.Life.Yrs]]-CN$4&lt;=0,0,
      IF(OM.Table[[#This Row],[Measure.Life.Yrs]]-CN$4&gt;=1,
          IF(OM.Table[[#This Row],[2nd.Base.Life.Yrs]]*AnnualizedCostStart-CN$4&gt;=1,0,
              IF(OM.Table[[#This Row],[2nd.Base.Life.Yrs]]*AnnualizedCostStart-CN$4&gt;=0,(1-(OM.Table[[#This Row],[2nd.Base.Life.Yrs]]*AnnualizedCostStart-CN$4))*OM.Table[[#This Row],[2nd.Base.Total.Cost]]/OM.Table[[#This Row],[2nd.Base.Life.Yrs]],OM.Table[[#This Row],[2nd.Base.Total.Cost]]/OM.Table[[#This Row],[2nd.Base.Life.Yrs]])),
      IF(OM.Table[[#This Row],[Measure.Life.Yrs]]-CN$4&gt;0,
          MIN(OM.Table[[#This Row],[Measure.Life.Yrs]]-CN$4,OM.Table[[#This Row],[Measure.Life.Yrs]]-OM.Table[[#This Row],[2nd.Base.Life.Yrs]]*AnnualizedCostStart)*OM.Table[[#This Row],[2nd.Base.Total.Cost]]/OM.Table[[#This Row],[2nd.Base.Life.Yrs]],0))),"NA")</f>
        <v>0</v>
      </c>
      <c r="CO40" s="94">
        <f>IF(ISNUMBER(OM.Table[[#This Row],[Base.Shift.Year]]),IF(OM.Table[[#This Row],[Measure.Life.Yrs]]-CO$4&lt;=0,0,
      IF(OM.Table[[#This Row],[Measure.Life.Yrs]]-CO$4&gt;=1,
          IF(OM.Table[[#This Row],[2nd.Base.Life.Yrs]]*AnnualizedCostStart-CO$4&gt;=1,0,
              IF(OM.Table[[#This Row],[2nd.Base.Life.Yrs]]*AnnualizedCostStart-CO$4&gt;=0,(1-(OM.Table[[#This Row],[2nd.Base.Life.Yrs]]*AnnualizedCostStart-CO$4))*OM.Table[[#This Row],[2nd.Base.Total.Cost]]/OM.Table[[#This Row],[2nd.Base.Life.Yrs]],OM.Table[[#This Row],[2nd.Base.Total.Cost]]/OM.Table[[#This Row],[2nd.Base.Life.Yrs]])),
      IF(OM.Table[[#This Row],[Measure.Life.Yrs]]-CO$4&gt;0,
          MIN(OM.Table[[#This Row],[Measure.Life.Yrs]]-CO$4,OM.Table[[#This Row],[Measure.Life.Yrs]]-OM.Table[[#This Row],[2nd.Base.Life.Yrs]]*AnnualizedCostStart)*OM.Table[[#This Row],[2nd.Base.Total.Cost]]/OM.Table[[#This Row],[2nd.Base.Life.Yrs]],0))),"NA")</f>
        <v>0</v>
      </c>
      <c r="CP40" s="45">
        <f>IFERROR(IF(OM.Table[[#This Row],[Measure.Life.Yrs]]-CP$4&lt;=0,0,
      IF(OM.Table[[#This Row],[Measure.Life.Yrs]]-CP$4&gt;=1,
          IF(OM.Table[[#This Row],[Eff.Life.Yrs]]*AnnualizedCostStart-CP$4&gt;=1,0,
              IF(OM.Table[[#This Row],[Eff.Life.Yrs]]*AnnualizedCostStart-CP$4&gt;=0,(1-(OM.Table[[#This Row],[Eff.Life.Yrs]]*AnnualizedCostStart-CP$4))*OM.Table[[#This Row],[Eff.Total.Cost]]/OM.Table[[#This Row],[Eff.Life.Yrs]],OM.Table[[#This Row],[Eff.Total.Cost]]/OM.Table[[#This Row],[Eff.Life.Yrs]])),
      IF(OM.Table[[#This Row],[Measure.Life.Yrs]]-CP$4&gt;0,
          MIN(OM.Table[[#This Row],[Measure.Life.Yrs]]-CP$4,OM.Table[[#This Row],[Measure.Life.Yrs]]-OM.Table[[#This Row],[Eff.Life.Yrs]]*AnnualizedCostStart)*OM.Table[[#This Row],[Eff.Total.Cost]]/OM.Table[[#This Row],[Eff.Life.Yrs]],0))),0)</f>
        <v>0</v>
      </c>
      <c r="CQ40" s="45">
        <f>IFERROR(IF(OM.Table[[#This Row],[Measure.Life.Yrs]]-CQ$4&lt;=0,0,
      IF(OM.Table[[#This Row],[Measure.Life.Yrs]]-CQ$4&gt;=1,
          IF(OM.Table[[#This Row],[Eff.Life.Yrs]]*AnnualizedCostStart-CQ$4&gt;=1,0,
              IF(OM.Table[[#This Row],[Eff.Life.Yrs]]*AnnualizedCostStart-CQ$4&gt;=0,(1-(OM.Table[[#This Row],[Eff.Life.Yrs]]*AnnualizedCostStart-CQ$4))*OM.Table[[#This Row],[Eff.Total.Cost]]/OM.Table[[#This Row],[Eff.Life.Yrs]],OM.Table[[#This Row],[Eff.Total.Cost]]/OM.Table[[#This Row],[Eff.Life.Yrs]])),
      IF(OM.Table[[#This Row],[Measure.Life.Yrs]]-CQ$4&gt;0,
          MIN(OM.Table[[#This Row],[Measure.Life.Yrs]]-CQ$4,OM.Table[[#This Row],[Measure.Life.Yrs]]-OM.Table[[#This Row],[Eff.Life.Yrs]]*AnnualizedCostStart)*OM.Table[[#This Row],[Eff.Total.Cost]]/OM.Table[[#This Row],[Eff.Life.Yrs]],0))),0)</f>
        <v>0</v>
      </c>
      <c r="CR40" s="45">
        <f>IFERROR(IF(OM.Table[[#This Row],[Measure.Life.Yrs]]-CR$4&lt;=0,0,
      IF(OM.Table[[#This Row],[Measure.Life.Yrs]]-CR$4&gt;=1,
          IF(OM.Table[[#This Row],[Eff.Life.Yrs]]*AnnualizedCostStart-CR$4&gt;=1,0,
              IF(OM.Table[[#This Row],[Eff.Life.Yrs]]*AnnualizedCostStart-CR$4&gt;=0,(1-(OM.Table[[#This Row],[Eff.Life.Yrs]]*AnnualizedCostStart-CR$4))*OM.Table[[#This Row],[Eff.Total.Cost]]/OM.Table[[#This Row],[Eff.Life.Yrs]],OM.Table[[#This Row],[Eff.Total.Cost]]/OM.Table[[#This Row],[Eff.Life.Yrs]])),
      IF(OM.Table[[#This Row],[Measure.Life.Yrs]]-CR$4&gt;0,
          MIN(OM.Table[[#This Row],[Measure.Life.Yrs]]-CR$4,OM.Table[[#This Row],[Measure.Life.Yrs]]-OM.Table[[#This Row],[Eff.Life.Yrs]]*AnnualizedCostStart)*OM.Table[[#This Row],[Eff.Total.Cost]]/OM.Table[[#This Row],[Eff.Life.Yrs]],0))),0)</f>
        <v>0</v>
      </c>
      <c r="CS40" s="45">
        <f>IFERROR(IF(OM.Table[[#This Row],[Measure.Life.Yrs]]-CS$4&lt;=0,0,
      IF(OM.Table[[#This Row],[Measure.Life.Yrs]]-CS$4&gt;=1,
          IF(OM.Table[[#This Row],[Eff.Life.Yrs]]*AnnualizedCostStart-CS$4&gt;=1,0,
              IF(OM.Table[[#This Row],[Eff.Life.Yrs]]*AnnualizedCostStart-CS$4&gt;=0,(1-(OM.Table[[#This Row],[Eff.Life.Yrs]]*AnnualizedCostStart-CS$4))*OM.Table[[#This Row],[Eff.Total.Cost]]/OM.Table[[#This Row],[Eff.Life.Yrs]],OM.Table[[#This Row],[Eff.Total.Cost]]/OM.Table[[#This Row],[Eff.Life.Yrs]])),
      IF(OM.Table[[#This Row],[Measure.Life.Yrs]]-CS$4&gt;0,
          MIN(OM.Table[[#This Row],[Measure.Life.Yrs]]-CS$4,OM.Table[[#This Row],[Measure.Life.Yrs]]-OM.Table[[#This Row],[Eff.Life.Yrs]]*AnnualizedCostStart)*OM.Table[[#This Row],[Eff.Total.Cost]]/OM.Table[[#This Row],[Eff.Life.Yrs]],0))),0)</f>
        <v>0</v>
      </c>
      <c r="CT40" s="45">
        <f>IFERROR(IF(OM.Table[[#This Row],[Measure.Life.Yrs]]-CT$4&lt;=0,0,
      IF(OM.Table[[#This Row],[Measure.Life.Yrs]]-CT$4&gt;=1,
          IF(OM.Table[[#This Row],[Eff.Life.Yrs]]*AnnualizedCostStart-CT$4&gt;=1,0,
              IF(OM.Table[[#This Row],[Eff.Life.Yrs]]*AnnualizedCostStart-CT$4&gt;=0,(1-(OM.Table[[#This Row],[Eff.Life.Yrs]]*AnnualizedCostStart-CT$4))*OM.Table[[#This Row],[Eff.Total.Cost]]/OM.Table[[#This Row],[Eff.Life.Yrs]],OM.Table[[#This Row],[Eff.Total.Cost]]/OM.Table[[#This Row],[Eff.Life.Yrs]])),
      IF(OM.Table[[#This Row],[Measure.Life.Yrs]]-CT$4&gt;0,
          MIN(OM.Table[[#This Row],[Measure.Life.Yrs]]-CT$4,OM.Table[[#This Row],[Measure.Life.Yrs]]-OM.Table[[#This Row],[Eff.Life.Yrs]]*AnnualizedCostStart)*OM.Table[[#This Row],[Eff.Total.Cost]]/OM.Table[[#This Row],[Eff.Life.Yrs]],0))),0)</f>
        <v>0</v>
      </c>
      <c r="CU40" s="45">
        <f>IFERROR(IF(OM.Table[[#This Row],[Measure.Life.Yrs]]-CU$4&lt;=0,0,
      IF(OM.Table[[#This Row],[Measure.Life.Yrs]]-CU$4&gt;=1,
          IF(OM.Table[[#This Row],[Eff.Life.Yrs]]*AnnualizedCostStart-CU$4&gt;=1,0,
              IF(OM.Table[[#This Row],[Eff.Life.Yrs]]*AnnualizedCostStart-CU$4&gt;=0,(1-(OM.Table[[#This Row],[Eff.Life.Yrs]]*AnnualizedCostStart-CU$4))*OM.Table[[#This Row],[Eff.Total.Cost]]/OM.Table[[#This Row],[Eff.Life.Yrs]],OM.Table[[#This Row],[Eff.Total.Cost]]/OM.Table[[#This Row],[Eff.Life.Yrs]])),
      IF(OM.Table[[#This Row],[Measure.Life.Yrs]]-CU$4&gt;0,
          MIN(OM.Table[[#This Row],[Measure.Life.Yrs]]-CU$4,OM.Table[[#This Row],[Measure.Life.Yrs]]-OM.Table[[#This Row],[Eff.Life.Yrs]]*AnnualizedCostStart)*OM.Table[[#This Row],[Eff.Total.Cost]]/OM.Table[[#This Row],[Eff.Life.Yrs]],0))),0)</f>
        <v>0</v>
      </c>
      <c r="CV40" s="45">
        <f>IFERROR(IF(OM.Table[[#This Row],[Measure.Life.Yrs]]-CV$4&lt;=0,0,
      IF(OM.Table[[#This Row],[Measure.Life.Yrs]]-CV$4&gt;=1,
          IF(OM.Table[[#This Row],[Eff.Life.Yrs]]*AnnualizedCostStart-CV$4&gt;=1,0,
              IF(OM.Table[[#This Row],[Eff.Life.Yrs]]*AnnualizedCostStart-CV$4&gt;=0,(1-(OM.Table[[#This Row],[Eff.Life.Yrs]]*AnnualizedCostStart-CV$4))*OM.Table[[#This Row],[Eff.Total.Cost]]/OM.Table[[#This Row],[Eff.Life.Yrs]],OM.Table[[#This Row],[Eff.Total.Cost]]/OM.Table[[#This Row],[Eff.Life.Yrs]])),
      IF(OM.Table[[#This Row],[Measure.Life.Yrs]]-CV$4&gt;0,
          MIN(OM.Table[[#This Row],[Measure.Life.Yrs]]-CV$4,OM.Table[[#This Row],[Measure.Life.Yrs]]-OM.Table[[#This Row],[Eff.Life.Yrs]]*AnnualizedCostStart)*OM.Table[[#This Row],[Eff.Total.Cost]]/OM.Table[[#This Row],[Eff.Life.Yrs]],0))),0)</f>
        <v>0</v>
      </c>
      <c r="CW40" s="45">
        <f>IFERROR(IF(OM.Table[[#This Row],[Measure.Life.Yrs]]-CW$4&lt;=0,0,
      IF(OM.Table[[#This Row],[Measure.Life.Yrs]]-CW$4&gt;=1,
          IF(OM.Table[[#This Row],[Eff.Life.Yrs]]*AnnualizedCostStart-CW$4&gt;=1,0,
              IF(OM.Table[[#This Row],[Eff.Life.Yrs]]*AnnualizedCostStart-CW$4&gt;=0,(1-(OM.Table[[#This Row],[Eff.Life.Yrs]]*AnnualizedCostStart-CW$4))*OM.Table[[#This Row],[Eff.Total.Cost]]/OM.Table[[#This Row],[Eff.Life.Yrs]],OM.Table[[#This Row],[Eff.Total.Cost]]/OM.Table[[#This Row],[Eff.Life.Yrs]])),
      IF(OM.Table[[#This Row],[Measure.Life.Yrs]]-CW$4&gt;0,
          MIN(OM.Table[[#This Row],[Measure.Life.Yrs]]-CW$4,OM.Table[[#This Row],[Measure.Life.Yrs]]-OM.Table[[#This Row],[Eff.Life.Yrs]]*AnnualizedCostStart)*OM.Table[[#This Row],[Eff.Total.Cost]]/OM.Table[[#This Row],[Eff.Life.Yrs]],0))),0)</f>
        <v>0</v>
      </c>
      <c r="CX40" s="45">
        <f>IFERROR(IF(OM.Table[[#This Row],[Measure.Life.Yrs]]-CX$4&lt;=0,0,
      IF(OM.Table[[#This Row],[Measure.Life.Yrs]]-CX$4&gt;=1,
          IF(OM.Table[[#This Row],[Eff.Life.Yrs]]*AnnualizedCostStart-CX$4&gt;=1,0,
              IF(OM.Table[[#This Row],[Eff.Life.Yrs]]*AnnualizedCostStart-CX$4&gt;=0,(1-(OM.Table[[#This Row],[Eff.Life.Yrs]]*AnnualizedCostStart-CX$4))*OM.Table[[#This Row],[Eff.Total.Cost]]/OM.Table[[#This Row],[Eff.Life.Yrs]],OM.Table[[#This Row],[Eff.Total.Cost]]/OM.Table[[#This Row],[Eff.Life.Yrs]])),
      IF(OM.Table[[#This Row],[Measure.Life.Yrs]]-CX$4&gt;0,
          MIN(OM.Table[[#This Row],[Measure.Life.Yrs]]-CX$4,OM.Table[[#This Row],[Measure.Life.Yrs]]-OM.Table[[#This Row],[Eff.Life.Yrs]]*AnnualizedCostStart)*OM.Table[[#This Row],[Eff.Total.Cost]]/OM.Table[[#This Row],[Eff.Life.Yrs]],0))),0)</f>
        <v>0</v>
      </c>
      <c r="CY40" s="45">
        <f>IFERROR(IF(OM.Table[[#This Row],[Measure.Life.Yrs]]-CY$4&lt;=0,0,
      IF(OM.Table[[#This Row],[Measure.Life.Yrs]]-CY$4&gt;=1,
          IF(OM.Table[[#This Row],[Eff.Life.Yrs]]*AnnualizedCostStart-CY$4&gt;=1,0,
              IF(OM.Table[[#This Row],[Eff.Life.Yrs]]*AnnualizedCostStart-CY$4&gt;=0,(1-(OM.Table[[#This Row],[Eff.Life.Yrs]]*AnnualizedCostStart-CY$4))*OM.Table[[#This Row],[Eff.Total.Cost]]/OM.Table[[#This Row],[Eff.Life.Yrs]],OM.Table[[#This Row],[Eff.Total.Cost]]/OM.Table[[#This Row],[Eff.Life.Yrs]])),
      IF(OM.Table[[#This Row],[Measure.Life.Yrs]]-CY$4&gt;0,
          MIN(OM.Table[[#This Row],[Measure.Life.Yrs]]-CY$4,OM.Table[[#This Row],[Measure.Life.Yrs]]-OM.Table[[#This Row],[Eff.Life.Yrs]]*AnnualizedCostStart)*OM.Table[[#This Row],[Eff.Total.Cost]]/OM.Table[[#This Row],[Eff.Life.Yrs]],0))),0)</f>
        <v>0</v>
      </c>
      <c r="CZ40" s="45">
        <f>IFERROR(IF(OM.Table[[#This Row],[Measure.Life.Yrs]]-CZ$4&lt;=0,0,
      IF(OM.Table[[#This Row],[Measure.Life.Yrs]]-CZ$4&gt;=1,
          IF(OM.Table[[#This Row],[Eff.Life.Yrs]]*AnnualizedCostStart-CZ$4&gt;=1,0,
              IF(OM.Table[[#This Row],[Eff.Life.Yrs]]*AnnualizedCostStart-CZ$4&gt;=0,(1-(OM.Table[[#This Row],[Eff.Life.Yrs]]*AnnualizedCostStart-CZ$4))*OM.Table[[#This Row],[Eff.Total.Cost]]/OM.Table[[#This Row],[Eff.Life.Yrs]],OM.Table[[#This Row],[Eff.Total.Cost]]/OM.Table[[#This Row],[Eff.Life.Yrs]])),
      IF(OM.Table[[#This Row],[Measure.Life.Yrs]]-CZ$4&gt;0,
          MIN(OM.Table[[#This Row],[Measure.Life.Yrs]]-CZ$4,OM.Table[[#This Row],[Measure.Life.Yrs]]-OM.Table[[#This Row],[Eff.Life.Yrs]]*AnnualizedCostStart)*OM.Table[[#This Row],[Eff.Total.Cost]]/OM.Table[[#This Row],[Eff.Life.Yrs]],0))),0)</f>
        <v>0</v>
      </c>
      <c r="DA40" s="45">
        <f>IFERROR(IF(OM.Table[[#This Row],[Measure.Life.Yrs]]-DA$4&lt;=0,0,
      IF(OM.Table[[#This Row],[Measure.Life.Yrs]]-DA$4&gt;=1,
          IF(OM.Table[[#This Row],[Eff.Life.Yrs]]*AnnualizedCostStart-DA$4&gt;=1,0,
              IF(OM.Table[[#This Row],[Eff.Life.Yrs]]*AnnualizedCostStart-DA$4&gt;=0,(1-(OM.Table[[#This Row],[Eff.Life.Yrs]]*AnnualizedCostStart-DA$4))*OM.Table[[#This Row],[Eff.Total.Cost]]/OM.Table[[#This Row],[Eff.Life.Yrs]],OM.Table[[#This Row],[Eff.Total.Cost]]/OM.Table[[#This Row],[Eff.Life.Yrs]])),
      IF(OM.Table[[#This Row],[Measure.Life.Yrs]]-DA$4&gt;0,
          MIN(OM.Table[[#This Row],[Measure.Life.Yrs]]-DA$4,OM.Table[[#This Row],[Measure.Life.Yrs]]-OM.Table[[#This Row],[Eff.Life.Yrs]]*AnnualizedCostStart)*OM.Table[[#This Row],[Eff.Total.Cost]]/OM.Table[[#This Row],[Eff.Life.Yrs]],0))),0)</f>
        <v>0</v>
      </c>
      <c r="DB40" s="45">
        <f>IFERROR(IF(OM.Table[[#This Row],[Measure.Life.Yrs]]-DB$4&lt;=0,0,
      IF(OM.Table[[#This Row],[Measure.Life.Yrs]]-DB$4&gt;=1,
          IF(OM.Table[[#This Row],[Eff.Life.Yrs]]*AnnualizedCostStart-DB$4&gt;=1,0,
              IF(OM.Table[[#This Row],[Eff.Life.Yrs]]*AnnualizedCostStart-DB$4&gt;=0,(1-(OM.Table[[#This Row],[Eff.Life.Yrs]]*AnnualizedCostStart-DB$4))*OM.Table[[#This Row],[Eff.Total.Cost]]/OM.Table[[#This Row],[Eff.Life.Yrs]],OM.Table[[#This Row],[Eff.Total.Cost]]/OM.Table[[#This Row],[Eff.Life.Yrs]])),
      IF(OM.Table[[#This Row],[Measure.Life.Yrs]]-DB$4&gt;0,
          MIN(OM.Table[[#This Row],[Measure.Life.Yrs]]-DB$4,OM.Table[[#This Row],[Measure.Life.Yrs]]-OM.Table[[#This Row],[Eff.Life.Yrs]]*AnnualizedCostStart)*OM.Table[[#This Row],[Eff.Total.Cost]]/OM.Table[[#This Row],[Eff.Life.Yrs]],0))),0)</f>
        <v>0</v>
      </c>
      <c r="DC40" s="45">
        <f>IFERROR(IF(OM.Table[[#This Row],[Measure.Life.Yrs]]-DC$4&lt;=0,0,
      IF(OM.Table[[#This Row],[Measure.Life.Yrs]]-DC$4&gt;=1,
          IF(OM.Table[[#This Row],[Eff.Life.Yrs]]*AnnualizedCostStart-DC$4&gt;=1,0,
              IF(OM.Table[[#This Row],[Eff.Life.Yrs]]*AnnualizedCostStart-DC$4&gt;=0,(1-(OM.Table[[#This Row],[Eff.Life.Yrs]]*AnnualizedCostStart-DC$4))*OM.Table[[#This Row],[Eff.Total.Cost]]/OM.Table[[#This Row],[Eff.Life.Yrs]],OM.Table[[#This Row],[Eff.Total.Cost]]/OM.Table[[#This Row],[Eff.Life.Yrs]])),
      IF(OM.Table[[#This Row],[Measure.Life.Yrs]]-DC$4&gt;0,
          MIN(OM.Table[[#This Row],[Measure.Life.Yrs]]-DC$4,OM.Table[[#This Row],[Measure.Life.Yrs]]-OM.Table[[#This Row],[Eff.Life.Yrs]]*AnnualizedCostStart)*OM.Table[[#This Row],[Eff.Total.Cost]]/OM.Table[[#This Row],[Eff.Life.Yrs]],0))),0)</f>
        <v>0</v>
      </c>
      <c r="DD40" s="45">
        <f>IFERROR(IF(OM.Table[[#This Row],[Measure.Life.Yrs]]-DD$4&lt;=0,0,
      IF(OM.Table[[#This Row],[Measure.Life.Yrs]]-DD$4&gt;=1,
          IF(OM.Table[[#This Row],[Eff.Life.Yrs]]*AnnualizedCostStart-DD$4&gt;=1,0,
              IF(OM.Table[[#This Row],[Eff.Life.Yrs]]*AnnualizedCostStart-DD$4&gt;=0,(1-(OM.Table[[#This Row],[Eff.Life.Yrs]]*AnnualizedCostStart-DD$4))*OM.Table[[#This Row],[Eff.Total.Cost]]/OM.Table[[#This Row],[Eff.Life.Yrs]],OM.Table[[#This Row],[Eff.Total.Cost]]/OM.Table[[#This Row],[Eff.Life.Yrs]])),
      IF(OM.Table[[#This Row],[Measure.Life.Yrs]]-DD$4&gt;0,
          MIN(OM.Table[[#This Row],[Measure.Life.Yrs]]-DD$4,OM.Table[[#This Row],[Measure.Life.Yrs]]-OM.Table[[#This Row],[Eff.Life.Yrs]]*AnnualizedCostStart)*OM.Table[[#This Row],[Eff.Total.Cost]]/OM.Table[[#This Row],[Eff.Life.Yrs]],0))),0)</f>
        <v>0</v>
      </c>
      <c r="DE40" s="45">
        <f>IFERROR(IF(OM.Table[[#This Row],[Measure.Life.Yrs]]-DE$4&lt;=0,0,
      IF(OM.Table[[#This Row],[Measure.Life.Yrs]]-DE$4&gt;=1,
          IF(OM.Table[[#This Row],[Eff.Life.Yrs]]*AnnualizedCostStart-DE$4&gt;=1,0,
              IF(OM.Table[[#This Row],[Eff.Life.Yrs]]*AnnualizedCostStart-DE$4&gt;=0,(1-(OM.Table[[#This Row],[Eff.Life.Yrs]]*AnnualizedCostStart-DE$4))*OM.Table[[#This Row],[Eff.Total.Cost]]/OM.Table[[#This Row],[Eff.Life.Yrs]],OM.Table[[#This Row],[Eff.Total.Cost]]/OM.Table[[#This Row],[Eff.Life.Yrs]])),
      IF(OM.Table[[#This Row],[Measure.Life.Yrs]]-DE$4&gt;0,
          MIN(OM.Table[[#This Row],[Measure.Life.Yrs]]-DE$4,OM.Table[[#This Row],[Measure.Life.Yrs]]-OM.Table[[#This Row],[Eff.Life.Yrs]]*AnnualizedCostStart)*OM.Table[[#This Row],[Eff.Total.Cost]]/OM.Table[[#This Row],[Eff.Life.Yrs]],0))),0)</f>
        <v>0</v>
      </c>
      <c r="DF40" s="45">
        <f>IFERROR(IF(OM.Table[[#This Row],[Measure.Life.Yrs]]-DF$4&lt;=0,0,
      IF(OM.Table[[#This Row],[Measure.Life.Yrs]]-DF$4&gt;=1,
          IF(OM.Table[[#This Row],[Eff.Life.Yrs]]*AnnualizedCostStart-DF$4&gt;=1,0,
              IF(OM.Table[[#This Row],[Eff.Life.Yrs]]*AnnualizedCostStart-DF$4&gt;=0,(1-(OM.Table[[#This Row],[Eff.Life.Yrs]]*AnnualizedCostStart-DF$4))*OM.Table[[#This Row],[Eff.Total.Cost]]/OM.Table[[#This Row],[Eff.Life.Yrs]],OM.Table[[#This Row],[Eff.Total.Cost]]/OM.Table[[#This Row],[Eff.Life.Yrs]])),
      IF(OM.Table[[#This Row],[Measure.Life.Yrs]]-DF$4&gt;0,
          MIN(OM.Table[[#This Row],[Measure.Life.Yrs]]-DF$4,OM.Table[[#This Row],[Measure.Life.Yrs]]-OM.Table[[#This Row],[Eff.Life.Yrs]]*AnnualizedCostStart)*OM.Table[[#This Row],[Eff.Total.Cost]]/OM.Table[[#This Row],[Eff.Life.Yrs]],0))),0)</f>
        <v>0</v>
      </c>
      <c r="DG40" s="45">
        <f>IFERROR(IF(OM.Table[[#This Row],[Measure.Life.Yrs]]-DG$4&lt;=0,0,
      IF(OM.Table[[#This Row],[Measure.Life.Yrs]]-DG$4&gt;=1,
          IF(OM.Table[[#This Row],[Eff.Life.Yrs]]*AnnualizedCostStart-DG$4&gt;=1,0,
              IF(OM.Table[[#This Row],[Eff.Life.Yrs]]*AnnualizedCostStart-DG$4&gt;=0,(1-(OM.Table[[#This Row],[Eff.Life.Yrs]]*AnnualizedCostStart-DG$4))*OM.Table[[#This Row],[Eff.Total.Cost]]/OM.Table[[#This Row],[Eff.Life.Yrs]],OM.Table[[#This Row],[Eff.Total.Cost]]/OM.Table[[#This Row],[Eff.Life.Yrs]])),
      IF(OM.Table[[#This Row],[Measure.Life.Yrs]]-DG$4&gt;0,
          MIN(OM.Table[[#This Row],[Measure.Life.Yrs]]-DG$4,OM.Table[[#This Row],[Measure.Life.Yrs]]-OM.Table[[#This Row],[Eff.Life.Yrs]]*AnnualizedCostStart)*OM.Table[[#This Row],[Eff.Total.Cost]]/OM.Table[[#This Row],[Eff.Life.Yrs]],0))),0)</f>
        <v>0</v>
      </c>
      <c r="DH40" s="45">
        <f>IFERROR(IF(OM.Table[[#This Row],[Measure.Life.Yrs]]-DH$4&lt;=0,0,
      IF(OM.Table[[#This Row],[Measure.Life.Yrs]]-DH$4&gt;=1,
          IF(OM.Table[[#This Row],[Eff.Life.Yrs]]*AnnualizedCostStart-DH$4&gt;=1,0,
              IF(OM.Table[[#This Row],[Eff.Life.Yrs]]*AnnualizedCostStart-DH$4&gt;=0,(1-(OM.Table[[#This Row],[Eff.Life.Yrs]]*AnnualizedCostStart-DH$4))*OM.Table[[#This Row],[Eff.Total.Cost]]/OM.Table[[#This Row],[Eff.Life.Yrs]],OM.Table[[#This Row],[Eff.Total.Cost]]/OM.Table[[#This Row],[Eff.Life.Yrs]])),
      IF(OM.Table[[#This Row],[Measure.Life.Yrs]]-DH$4&gt;0,
          MIN(OM.Table[[#This Row],[Measure.Life.Yrs]]-DH$4,OM.Table[[#This Row],[Measure.Life.Yrs]]-OM.Table[[#This Row],[Eff.Life.Yrs]]*AnnualizedCostStart)*OM.Table[[#This Row],[Eff.Total.Cost]]/OM.Table[[#This Row],[Eff.Life.Yrs]],0))),0)</f>
        <v>0</v>
      </c>
      <c r="DI40" s="45">
        <f>IFERROR(IF(OM.Table[[#This Row],[Measure.Life.Yrs]]-DI$4&lt;=0,0,
      IF(OM.Table[[#This Row],[Measure.Life.Yrs]]-DI$4&gt;=1,
          IF(OM.Table[[#This Row],[Eff.Life.Yrs]]*AnnualizedCostStart-DI$4&gt;=1,0,
              IF(OM.Table[[#This Row],[Eff.Life.Yrs]]*AnnualizedCostStart-DI$4&gt;=0,(1-(OM.Table[[#This Row],[Eff.Life.Yrs]]*AnnualizedCostStart-DI$4))*OM.Table[[#This Row],[Eff.Total.Cost]]/OM.Table[[#This Row],[Eff.Life.Yrs]],OM.Table[[#This Row],[Eff.Total.Cost]]/OM.Table[[#This Row],[Eff.Life.Yrs]])),
      IF(OM.Table[[#This Row],[Measure.Life.Yrs]]-DI$4&gt;0,
          MIN(OM.Table[[#This Row],[Measure.Life.Yrs]]-DI$4,OM.Table[[#This Row],[Measure.Life.Yrs]]-OM.Table[[#This Row],[Eff.Life.Yrs]]*AnnualizedCostStart)*OM.Table[[#This Row],[Eff.Total.Cost]]/OM.Table[[#This Row],[Eff.Life.Yrs]],0))),0)</f>
        <v>0</v>
      </c>
      <c r="DJ40" s="45">
        <f>IFERROR(IF(OM.Table[[#This Row],[Measure.Life.Yrs]]-DJ$4&lt;=0,0,
      IF(OM.Table[[#This Row],[Measure.Life.Yrs]]-DJ$4&gt;=1,
          IF(OM.Table[[#This Row],[Eff.Life.Yrs]]*AnnualizedCostStart-DJ$4&gt;=1,0,
              IF(OM.Table[[#This Row],[Eff.Life.Yrs]]*AnnualizedCostStart-DJ$4&gt;=0,(1-(OM.Table[[#This Row],[Eff.Life.Yrs]]*AnnualizedCostStart-DJ$4))*OM.Table[[#This Row],[Eff.Total.Cost]]/OM.Table[[#This Row],[Eff.Life.Yrs]],OM.Table[[#This Row],[Eff.Total.Cost]]/OM.Table[[#This Row],[Eff.Life.Yrs]])),
      IF(OM.Table[[#This Row],[Measure.Life.Yrs]]-DJ$4&gt;0,
          MIN(OM.Table[[#This Row],[Measure.Life.Yrs]]-DJ$4,OM.Table[[#This Row],[Measure.Life.Yrs]]-OM.Table[[#This Row],[Eff.Life.Yrs]]*AnnualizedCostStart)*OM.Table[[#This Row],[Eff.Total.Cost]]/OM.Table[[#This Row],[Eff.Life.Yrs]],0))),0)</f>
        <v>0</v>
      </c>
      <c r="DK40" s="6">
        <f>IF(OM.Table[[#This Row],[Measure.Life.Yrs]]-DK$4&lt;=0,0,
      IF(OM.Table[[#This Row],[Measure.Life.Yrs]]-DK$4&gt;=1,
          IF(OM.Table[[#This Row],[RUL.Yrs]]*AnnualizedCostStart-DK$4&gt;=1,0,
              IF(OM.Table[[#This Row],[RUL.Yrs]]*AnnualizedCostStart-DK$4&gt;=0,(1-(OM.Table[[#This Row],[RUL.Yrs]]*AnnualizedCostStart-DK$4))*OM.Table[[#This Row],[Base.Total.Cost]]/OM.Table[[#This Row],[Base.Life.Yrs]],OM.Table[[#This Row],[Base.Total.Cost]]/OM.Table[[#This Row],[Base.Life.Yrs]])),
      IF(OM.Table[[#This Row],[Measure.Life.Yrs]]-DK$4&gt;0,
          MIN(OM.Table[[#This Row],[Measure.Life.Yrs]]-DK$4,OM.Table[[#This Row],[Measure.Life.Yrs]]-OM.Table[[#This Row],[RUL.Yrs]]*AnnualizedCostStart)*OM.Table[[#This Row],[Base.Total.Cost]]/OM.Table[[#This Row],[Base.Life.Yrs]],0)))</f>
        <v>0</v>
      </c>
      <c r="DL40" s="12">
        <f>IF(OM.Table[[#This Row],[Measure.Life.Yrs]]-DL$4&lt;=0,0,
      IF(OM.Table[[#This Row],[Measure.Life.Yrs]]-DL$4&gt;=1,
          IF(OM.Table[[#This Row],[RUL.Yrs]]*AnnualizedCostStart-DL$4&gt;=1,0,
              IF(OM.Table[[#This Row],[RUL.Yrs]]*AnnualizedCostStart-DL$4&gt;=0,(1-(OM.Table[[#This Row],[RUL.Yrs]]*AnnualizedCostStart-DL$4))*OM.Table[[#This Row],[Base.Total.Cost]]/OM.Table[[#This Row],[Base.Life.Yrs]],OM.Table[[#This Row],[Base.Total.Cost]]/OM.Table[[#This Row],[Base.Life.Yrs]])),
      IF(OM.Table[[#This Row],[Measure.Life.Yrs]]-DL$4&gt;0,
          MIN(OM.Table[[#This Row],[Measure.Life.Yrs]]-DL$4,OM.Table[[#This Row],[Measure.Life.Yrs]]-OM.Table[[#This Row],[RUL.Yrs]]*AnnualizedCostStart)*OM.Table[[#This Row],[Base.Total.Cost]]/OM.Table[[#This Row],[Base.Life.Yrs]],0)))</f>
        <v>0.33714360000000027</v>
      </c>
      <c r="DM40" s="12">
        <f>IF(OM.Table[[#This Row],[Measure.Life.Yrs]]-DM$4&lt;=0,0,
      IF(OM.Table[[#This Row],[Measure.Life.Yrs]]-DM$4&gt;=1,
          IF(OM.Table[[#This Row],[RUL.Yrs]]*AnnualizedCostStart-DM$4&gt;=1,0,
              IF(OM.Table[[#This Row],[RUL.Yrs]]*AnnualizedCostStart-DM$4&gt;=0,(1-(OM.Table[[#This Row],[RUL.Yrs]]*AnnualizedCostStart-DM$4))*OM.Table[[#This Row],[Base.Total.Cost]]/OM.Table[[#This Row],[Base.Life.Yrs]],OM.Table[[#This Row],[Base.Total.Cost]]/OM.Table[[#This Row],[Base.Life.Yrs]])),
      IF(OM.Table[[#This Row],[Measure.Life.Yrs]]-DM$4&gt;0,
          MIN(OM.Table[[#This Row],[Measure.Life.Yrs]]-DM$4,OM.Table[[#This Row],[Measure.Life.Yrs]]-OM.Table[[#This Row],[RUL.Yrs]]*AnnualizedCostStart)*OM.Table[[#This Row],[Base.Total.Cost]]/OM.Table[[#This Row],[Base.Life.Yrs]],0)))</f>
        <v>1.8730199999999999</v>
      </c>
      <c r="DN40" s="12">
        <f>IF(OM.Table[[#This Row],[Measure.Life.Yrs]]-DN$4&lt;=0,0,
      IF(OM.Table[[#This Row],[Measure.Life.Yrs]]-DN$4&gt;=1,
          IF(OM.Table[[#This Row],[RUL.Yrs]]*AnnualizedCostStart-DN$4&gt;=1,0,
              IF(OM.Table[[#This Row],[RUL.Yrs]]*AnnualizedCostStart-DN$4&gt;=0,(1-(OM.Table[[#This Row],[RUL.Yrs]]*AnnualizedCostStart-DN$4))*OM.Table[[#This Row],[Base.Total.Cost]]/OM.Table[[#This Row],[Base.Life.Yrs]],OM.Table[[#This Row],[Base.Total.Cost]]/OM.Table[[#This Row],[Base.Life.Yrs]])),
      IF(OM.Table[[#This Row],[Measure.Life.Yrs]]-DN$4&gt;0,
          MIN(OM.Table[[#This Row],[Measure.Life.Yrs]]-DN$4,OM.Table[[#This Row],[Measure.Life.Yrs]]-OM.Table[[#This Row],[RUL.Yrs]]*AnnualizedCostStart)*OM.Table[[#This Row],[Base.Total.Cost]]/OM.Table[[#This Row],[Base.Life.Yrs]],0)))</f>
        <v>1.8730199999999999</v>
      </c>
      <c r="DO40" s="12">
        <f>IF(OM.Table[[#This Row],[Measure.Life.Yrs]]-DO$4&lt;=0,0,
      IF(OM.Table[[#This Row],[Measure.Life.Yrs]]-DO$4&gt;=1,
          IF(OM.Table[[#This Row],[RUL.Yrs]]*AnnualizedCostStart-DO$4&gt;=1,0,
              IF(OM.Table[[#This Row],[RUL.Yrs]]*AnnualizedCostStart-DO$4&gt;=0,(1-(OM.Table[[#This Row],[RUL.Yrs]]*AnnualizedCostStart-DO$4))*OM.Table[[#This Row],[Base.Total.Cost]]/OM.Table[[#This Row],[Base.Life.Yrs]],OM.Table[[#This Row],[Base.Total.Cost]]/OM.Table[[#This Row],[Base.Life.Yrs]])),
      IF(OM.Table[[#This Row],[Measure.Life.Yrs]]-DO$4&gt;0,
          MIN(OM.Table[[#This Row],[Measure.Life.Yrs]]-DO$4,OM.Table[[#This Row],[Measure.Life.Yrs]]-OM.Table[[#This Row],[RUL.Yrs]]*AnnualizedCostStart)*OM.Table[[#This Row],[Base.Total.Cost]]/OM.Table[[#This Row],[Base.Life.Yrs]],0)))</f>
        <v>1.8730199999999999</v>
      </c>
      <c r="DP40" s="12">
        <f>IF(OM.Table[[#This Row],[Measure.Life.Yrs]]-DP$4&lt;=0,0,
      IF(OM.Table[[#This Row],[Measure.Life.Yrs]]-DP$4&gt;=1,
          IF(OM.Table[[#This Row],[RUL.Yrs]]*AnnualizedCostStart-DP$4&gt;=1,0,
              IF(OM.Table[[#This Row],[RUL.Yrs]]*AnnualizedCostStart-DP$4&gt;=0,(1-(OM.Table[[#This Row],[RUL.Yrs]]*AnnualizedCostStart-DP$4))*OM.Table[[#This Row],[Base.Total.Cost]]/OM.Table[[#This Row],[Base.Life.Yrs]],OM.Table[[#This Row],[Base.Total.Cost]]/OM.Table[[#This Row],[Base.Life.Yrs]])),
      IF(OM.Table[[#This Row],[Measure.Life.Yrs]]-DP$4&gt;0,
          MIN(OM.Table[[#This Row],[Measure.Life.Yrs]]-DP$4,OM.Table[[#This Row],[Measure.Life.Yrs]]-OM.Table[[#This Row],[RUL.Yrs]]*AnnualizedCostStart)*OM.Table[[#This Row],[Base.Total.Cost]]/OM.Table[[#This Row],[Base.Life.Yrs]],0)))</f>
        <v>1.8730199999999999</v>
      </c>
      <c r="DQ40" s="12">
        <f>IF(OM.Table[[#This Row],[Measure.Life.Yrs]]-DQ$4&lt;=0,0,
      IF(OM.Table[[#This Row],[Measure.Life.Yrs]]-DQ$4&gt;=1,
          IF(OM.Table[[#This Row],[RUL.Yrs]]*AnnualizedCostStart-DQ$4&gt;=1,0,
              IF(OM.Table[[#This Row],[RUL.Yrs]]*AnnualizedCostStart-DQ$4&gt;=0,(1-(OM.Table[[#This Row],[RUL.Yrs]]*AnnualizedCostStart-DQ$4))*OM.Table[[#This Row],[Base.Total.Cost]]/OM.Table[[#This Row],[Base.Life.Yrs]],OM.Table[[#This Row],[Base.Total.Cost]]/OM.Table[[#This Row],[Base.Life.Yrs]])),
      IF(OM.Table[[#This Row],[Measure.Life.Yrs]]-DQ$4&gt;0,
          MIN(OM.Table[[#This Row],[Measure.Life.Yrs]]-DQ$4,OM.Table[[#This Row],[Measure.Life.Yrs]]-OM.Table[[#This Row],[RUL.Yrs]]*AnnualizedCostStart)*OM.Table[[#This Row],[Base.Total.Cost]]/OM.Table[[#This Row],[Base.Life.Yrs]],0)))</f>
        <v>1.8730199999999999</v>
      </c>
      <c r="DR40" s="12">
        <f>IF(OM.Table[[#This Row],[Measure.Life.Yrs]]-DR$4&lt;=0,0,
      IF(OM.Table[[#This Row],[Measure.Life.Yrs]]-DR$4&gt;=1,
          IF(OM.Table[[#This Row],[RUL.Yrs]]*AnnualizedCostStart-DR$4&gt;=1,0,
              IF(OM.Table[[#This Row],[RUL.Yrs]]*AnnualizedCostStart-DR$4&gt;=0,(1-(OM.Table[[#This Row],[RUL.Yrs]]*AnnualizedCostStart-DR$4))*OM.Table[[#This Row],[Base.Total.Cost]]/OM.Table[[#This Row],[Base.Life.Yrs]],OM.Table[[#This Row],[Base.Total.Cost]]/OM.Table[[#This Row],[Base.Life.Yrs]])),
      IF(OM.Table[[#This Row],[Measure.Life.Yrs]]-DR$4&gt;0,
          MIN(OM.Table[[#This Row],[Measure.Life.Yrs]]-DR$4,OM.Table[[#This Row],[Measure.Life.Yrs]]-OM.Table[[#This Row],[RUL.Yrs]]*AnnualizedCostStart)*OM.Table[[#This Row],[Base.Total.Cost]]/OM.Table[[#This Row],[Base.Life.Yrs]],0)))</f>
        <v>1.8730199999999999</v>
      </c>
      <c r="DS40" s="12">
        <f>IF(OM.Table[[#This Row],[Measure.Life.Yrs]]-DS$4&lt;=0,0,
      IF(OM.Table[[#This Row],[Measure.Life.Yrs]]-DS$4&gt;=1,
          IF(OM.Table[[#This Row],[RUL.Yrs]]*AnnualizedCostStart-DS$4&gt;=1,0,
              IF(OM.Table[[#This Row],[RUL.Yrs]]*AnnualizedCostStart-DS$4&gt;=0,(1-(OM.Table[[#This Row],[RUL.Yrs]]*AnnualizedCostStart-DS$4))*OM.Table[[#This Row],[Base.Total.Cost]]/OM.Table[[#This Row],[Base.Life.Yrs]],OM.Table[[#This Row],[Base.Total.Cost]]/OM.Table[[#This Row],[Base.Life.Yrs]])),
      IF(OM.Table[[#This Row],[Measure.Life.Yrs]]-DS$4&gt;0,
          MIN(OM.Table[[#This Row],[Measure.Life.Yrs]]-DS$4,OM.Table[[#This Row],[Measure.Life.Yrs]]-OM.Table[[#This Row],[RUL.Yrs]]*AnnualizedCostStart)*OM.Table[[#This Row],[Base.Total.Cost]]/OM.Table[[#This Row],[Base.Life.Yrs]],0)))</f>
        <v>1.8730199999999999</v>
      </c>
      <c r="DT40" s="12">
        <f>IF(OM.Table[[#This Row],[Measure.Life.Yrs]]-DT$4&lt;=0,0,
      IF(OM.Table[[#This Row],[Measure.Life.Yrs]]-DT$4&gt;=1,
          IF(OM.Table[[#This Row],[RUL.Yrs]]*AnnualizedCostStart-DT$4&gt;=1,0,
              IF(OM.Table[[#This Row],[RUL.Yrs]]*AnnualizedCostStart-DT$4&gt;=0,(1-(OM.Table[[#This Row],[RUL.Yrs]]*AnnualizedCostStart-DT$4))*OM.Table[[#This Row],[Base.Total.Cost]]/OM.Table[[#This Row],[Base.Life.Yrs]],OM.Table[[#This Row],[Base.Total.Cost]]/OM.Table[[#This Row],[Base.Life.Yrs]])),
      IF(OM.Table[[#This Row],[Measure.Life.Yrs]]-DT$4&gt;0,
          MIN(OM.Table[[#This Row],[Measure.Life.Yrs]]-DT$4,OM.Table[[#This Row],[Measure.Life.Yrs]]-OM.Table[[#This Row],[RUL.Yrs]]*AnnualizedCostStart)*OM.Table[[#This Row],[Base.Total.Cost]]/OM.Table[[#This Row],[Base.Life.Yrs]],0)))</f>
        <v>0.18730199999999933</v>
      </c>
      <c r="DU40" s="12">
        <f>IF(OM.Table[[#This Row],[Measure.Life.Yrs]]-DU$4&lt;=0,0,
      IF(OM.Table[[#This Row],[Measure.Life.Yrs]]-DU$4&gt;=1,
          IF(OM.Table[[#This Row],[RUL.Yrs]]*AnnualizedCostStart-DU$4&gt;=1,0,
              IF(OM.Table[[#This Row],[RUL.Yrs]]*AnnualizedCostStart-DU$4&gt;=0,(1-(OM.Table[[#This Row],[RUL.Yrs]]*AnnualizedCostStart-DU$4))*OM.Table[[#This Row],[Base.Total.Cost]]/OM.Table[[#This Row],[Base.Life.Yrs]],OM.Table[[#This Row],[Base.Total.Cost]]/OM.Table[[#This Row],[Base.Life.Yrs]])),
      IF(OM.Table[[#This Row],[Measure.Life.Yrs]]-DU$4&gt;0,
          MIN(OM.Table[[#This Row],[Measure.Life.Yrs]]-DU$4,OM.Table[[#This Row],[Measure.Life.Yrs]]-OM.Table[[#This Row],[RUL.Yrs]]*AnnualizedCostStart)*OM.Table[[#This Row],[Base.Total.Cost]]/OM.Table[[#This Row],[Base.Life.Yrs]],0)))</f>
        <v>0</v>
      </c>
      <c r="DV40" s="12">
        <f>IF(OM.Table[[#This Row],[Measure.Life.Yrs]]-DV$4&lt;=0,0,
      IF(OM.Table[[#This Row],[Measure.Life.Yrs]]-DV$4&gt;=1,
          IF(OM.Table[[#This Row],[RUL.Yrs]]*AnnualizedCostStart-DV$4&gt;=1,0,
              IF(OM.Table[[#This Row],[RUL.Yrs]]*AnnualizedCostStart-DV$4&gt;=0,(1-(OM.Table[[#This Row],[RUL.Yrs]]*AnnualizedCostStart-DV$4))*OM.Table[[#This Row],[Base.Total.Cost]]/OM.Table[[#This Row],[Base.Life.Yrs]],OM.Table[[#This Row],[Base.Total.Cost]]/OM.Table[[#This Row],[Base.Life.Yrs]])),
      IF(OM.Table[[#This Row],[Measure.Life.Yrs]]-DV$4&gt;0,
          MIN(OM.Table[[#This Row],[Measure.Life.Yrs]]-DV$4,OM.Table[[#This Row],[Measure.Life.Yrs]]-OM.Table[[#This Row],[RUL.Yrs]]*AnnualizedCostStart)*OM.Table[[#This Row],[Base.Total.Cost]]/OM.Table[[#This Row],[Base.Life.Yrs]],0)))</f>
        <v>0</v>
      </c>
      <c r="DW40" s="12">
        <f>IF(OM.Table[[#This Row],[Measure.Life.Yrs]]-DW$4&lt;=0,0,
      IF(OM.Table[[#This Row],[Measure.Life.Yrs]]-DW$4&gt;=1,
          IF(OM.Table[[#This Row],[RUL.Yrs]]*AnnualizedCostStart-DW$4&gt;=1,0,
              IF(OM.Table[[#This Row],[RUL.Yrs]]*AnnualizedCostStart-DW$4&gt;=0,(1-(OM.Table[[#This Row],[RUL.Yrs]]*AnnualizedCostStart-DW$4))*OM.Table[[#This Row],[Base.Total.Cost]]/OM.Table[[#This Row],[Base.Life.Yrs]],OM.Table[[#This Row],[Base.Total.Cost]]/OM.Table[[#This Row],[Base.Life.Yrs]])),
      IF(OM.Table[[#This Row],[Measure.Life.Yrs]]-DW$4&gt;0,
          MIN(OM.Table[[#This Row],[Measure.Life.Yrs]]-DW$4,OM.Table[[#This Row],[Measure.Life.Yrs]]-OM.Table[[#This Row],[RUL.Yrs]]*AnnualizedCostStart)*OM.Table[[#This Row],[Base.Total.Cost]]/OM.Table[[#This Row],[Base.Life.Yrs]],0)))</f>
        <v>0</v>
      </c>
      <c r="DX40" s="12">
        <f>IF(OM.Table[[#This Row],[Measure.Life.Yrs]]-DX$4&lt;=0,0,
      IF(OM.Table[[#This Row],[Measure.Life.Yrs]]-DX$4&gt;=1,
          IF(OM.Table[[#This Row],[RUL.Yrs]]*AnnualizedCostStart-DX$4&gt;=1,0,
              IF(OM.Table[[#This Row],[RUL.Yrs]]*AnnualizedCostStart-DX$4&gt;=0,(1-(OM.Table[[#This Row],[RUL.Yrs]]*AnnualizedCostStart-DX$4))*OM.Table[[#This Row],[Base.Total.Cost]]/OM.Table[[#This Row],[Base.Life.Yrs]],OM.Table[[#This Row],[Base.Total.Cost]]/OM.Table[[#This Row],[Base.Life.Yrs]])),
      IF(OM.Table[[#This Row],[Measure.Life.Yrs]]-DX$4&gt;0,
          MIN(OM.Table[[#This Row],[Measure.Life.Yrs]]-DX$4,OM.Table[[#This Row],[Measure.Life.Yrs]]-OM.Table[[#This Row],[RUL.Yrs]]*AnnualizedCostStart)*OM.Table[[#This Row],[Base.Total.Cost]]/OM.Table[[#This Row],[Base.Life.Yrs]],0)))</f>
        <v>0</v>
      </c>
      <c r="DY40" s="12">
        <f>IF(OM.Table[[#This Row],[Measure.Life.Yrs]]-DY$4&lt;=0,0,
      IF(OM.Table[[#This Row],[Measure.Life.Yrs]]-DY$4&gt;=1,
          IF(OM.Table[[#This Row],[RUL.Yrs]]*AnnualizedCostStart-DY$4&gt;=1,0,
              IF(OM.Table[[#This Row],[RUL.Yrs]]*AnnualizedCostStart-DY$4&gt;=0,(1-(OM.Table[[#This Row],[RUL.Yrs]]*AnnualizedCostStart-DY$4))*OM.Table[[#This Row],[Base.Total.Cost]]/OM.Table[[#This Row],[Base.Life.Yrs]],OM.Table[[#This Row],[Base.Total.Cost]]/OM.Table[[#This Row],[Base.Life.Yrs]])),
      IF(OM.Table[[#This Row],[Measure.Life.Yrs]]-DY$4&gt;0,
          MIN(OM.Table[[#This Row],[Measure.Life.Yrs]]-DY$4,OM.Table[[#This Row],[Measure.Life.Yrs]]-OM.Table[[#This Row],[RUL.Yrs]]*AnnualizedCostStart)*OM.Table[[#This Row],[Base.Total.Cost]]/OM.Table[[#This Row],[Base.Life.Yrs]],0)))</f>
        <v>0</v>
      </c>
      <c r="DZ40" s="12">
        <f>IF(OM.Table[[#This Row],[Measure.Life.Yrs]]-DZ$4&lt;=0,0,
      IF(OM.Table[[#This Row],[Measure.Life.Yrs]]-DZ$4&gt;=1,
          IF(OM.Table[[#This Row],[RUL.Yrs]]*AnnualizedCostStart-DZ$4&gt;=1,0,
              IF(OM.Table[[#This Row],[RUL.Yrs]]*AnnualizedCostStart-DZ$4&gt;=0,(1-(OM.Table[[#This Row],[RUL.Yrs]]*AnnualizedCostStart-DZ$4))*OM.Table[[#This Row],[Base.Total.Cost]]/OM.Table[[#This Row],[Base.Life.Yrs]],OM.Table[[#This Row],[Base.Total.Cost]]/OM.Table[[#This Row],[Base.Life.Yrs]])),
      IF(OM.Table[[#This Row],[Measure.Life.Yrs]]-DZ$4&gt;0,
          MIN(OM.Table[[#This Row],[Measure.Life.Yrs]]-DZ$4,OM.Table[[#This Row],[Measure.Life.Yrs]]-OM.Table[[#This Row],[RUL.Yrs]]*AnnualizedCostStart)*OM.Table[[#This Row],[Base.Total.Cost]]/OM.Table[[#This Row],[Base.Life.Yrs]],0)))</f>
        <v>0</v>
      </c>
      <c r="EA40" s="12">
        <f>IF(OM.Table[[#This Row],[Measure.Life.Yrs]]-EA$4&lt;=0,0,
      IF(OM.Table[[#This Row],[Measure.Life.Yrs]]-EA$4&gt;=1,
          IF(OM.Table[[#This Row],[RUL.Yrs]]*AnnualizedCostStart-EA$4&gt;=1,0,
              IF(OM.Table[[#This Row],[RUL.Yrs]]*AnnualizedCostStart-EA$4&gt;=0,(1-(OM.Table[[#This Row],[RUL.Yrs]]*AnnualizedCostStart-EA$4))*OM.Table[[#This Row],[Base.Total.Cost]]/OM.Table[[#This Row],[Base.Life.Yrs]],OM.Table[[#This Row],[Base.Total.Cost]]/OM.Table[[#This Row],[Base.Life.Yrs]])),
      IF(OM.Table[[#This Row],[Measure.Life.Yrs]]-EA$4&gt;0,
          MIN(OM.Table[[#This Row],[Measure.Life.Yrs]]-EA$4,OM.Table[[#This Row],[Measure.Life.Yrs]]-OM.Table[[#This Row],[RUL.Yrs]]*AnnualizedCostStart)*OM.Table[[#This Row],[Base.Total.Cost]]/OM.Table[[#This Row],[Base.Life.Yrs]],0)))</f>
        <v>0</v>
      </c>
      <c r="EB40" s="12">
        <f>IF(OM.Table[[#This Row],[Measure.Life.Yrs]]-EB$4&lt;=0,0,
      IF(OM.Table[[#This Row],[Measure.Life.Yrs]]-EB$4&gt;=1,
          IF(OM.Table[[#This Row],[RUL.Yrs]]*AnnualizedCostStart-EB$4&gt;=1,0,
              IF(OM.Table[[#This Row],[RUL.Yrs]]*AnnualizedCostStart-EB$4&gt;=0,(1-(OM.Table[[#This Row],[RUL.Yrs]]*AnnualizedCostStart-EB$4))*OM.Table[[#This Row],[Base.Total.Cost]]/OM.Table[[#This Row],[Base.Life.Yrs]],OM.Table[[#This Row],[Base.Total.Cost]]/OM.Table[[#This Row],[Base.Life.Yrs]])),
      IF(OM.Table[[#This Row],[Measure.Life.Yrs]]-EB$4&gt;0,
          MIN(OM.Table[[#This Row],[Measure.Life.Yrs]]-EB$4,OM.Table[[#This Row],[Measure.Life.Yrs]]-OM.Table[[#This Row],[RUL.Yrs]]*AnnualizedCostStart)*OM.Table[[#This Row],[Base.Total.Cost]]/OM.Table[[#This Row],[Base.Life.Yrs]],0)))</f>
        <v>0</v>
      </c>
      <c r="EC40" s="12">
        <f>IF(OM.Table[[#This Row],[Measure.Life.Yrs]]-EC$4&lt;=0,0,
      IF(OM.Table[[#This Row],[Measure.Life.Yrs]]-EC$4&gt;=1,
          IF(OM.Table[[#This Row],[RUL.Yrs]]*AnnualizedCostStart-EC$4&gt;=1,0,
              IF(OM.Table[[#This Row],[RUL.Yrs]]*AnnualizedCostStart-EC$4&gt;=0,(1-(OM.Table[[#This Row],[RUL.Yrs]]*AnnualizedCostStart-EC$4))*OM.Table[[#This Row],[Base.Total.Cost]]/OM.Table[[#This Row],[Base.Life.Yrs]],OM.Table[[#This Row],[Base.Total.Cost]]/OM.Table[[#This Row],[Base.Life.Yrs]])),
      IF(OM.Table[[#This Row],[Measure.Life.Yrs]]-EC$4&gt;0,
          MIN(OM.Table[[#This Row],[Measure.Life.Yrs]]-EC$4,OM.Table[[#This Row],[Measure.Life.Yrs]]-OM.Table[[#This Row],[RUL.Yrs]]*AnnualizedCostStart)*OM.Table[[#This Row],[Base.Total.Cost]]/OM.Table[[#This Row],[Base.Life.Yrs]],0)))</f>
        <v>0</v>
      </c>
      <c r="ED40" s="12">
        <f>IF(OM.Table[[#This Row],[Measure.Life.Yrs]]-ED$4&lt;=0,0,
      IF(OM.Table[[#This Row],[Measure.Life.Yrs]]-ED$4&gt;=1,
          IF(OM.Table[[#This Row],[RUL.Yrs]]*AnnualizedCostStart-ED$4&gt;=1,0,
              IF(OM.Table[[#This Row],[RUL.Yrs]]*AnnualizedCostStart-ED$4&gt;=0,(1-(OM.Table[[#This Row],[RUL.Yrs]]*AnnualizedCostStart-ED$4))*OM.Table[[#This Row],[Base.Total.Cost]]/OM.Table[[#This Row],[Base.Life.Yrs]],OM.Table[[#This Row],[Base.Total.Cost]]/OM.Table[[#This Row],[Base.Life.Yrs]])),
      IF(OM.Table[[#This Row],[Measure.Life.Yrs]]-ED$4&gt;0,
          MIN(OM.Table[[#This Row],[Measure.Life.Yrs]]-ED$4,OM.Table[[#This Row],[Measure.Life.Yrs]]-OM.Table[[#This Row],[RUL.Yrs]]*AnnualizedCostStart)*OM.Table[[#This Row],[Base.Total.Cost]]/OM.Table[[#This Row],[Base.Life.Yrs]],0)))</f>
        <v>0</v>
      </c>
      <c r="EE40" s="12">
        <f>IF(OM.Table[[#This Row],[Measure.Life.Yrs]]-EE$4&lt;=0,0,
      IF(OM.Table[[#This Row],[Measure.Life.Yrs]]-EE$4&gt;=1,
          IF(OM.Table[[#This Row],[RUL.Yrs]]*AnnualizedCostStart-EE$4&gt;=1,0,
              IF(OM.Table[[#This Row],[RUL.Yrs]]*AnnualizedCostStart-EE$4&gt;=0,(1-(OM.Table[[#This Row],[RUL.Yrs]]*AnnualizedCostStart-EE$4))*OM.Table[[#This Row],[Base.Total.Cost]]/OM.Table[[#This Row],[Base.Life.Yrs]],OM.Table[[#This Row],[Base.Total.Cost]]/OM.Table[[#This Row],[Base.Life.Yrs]])),
      IF(OM.Table[[#This Row],[Measure.Life.Yrs]]-EE$4&gt;0,
          MIN(OM.Table[[#This Row],[Measure.Life.Yrs]]-EE$4,OM.Table[[#This Row],[Measure.Life.Yrs]]-OM.Table[[#This Row],[RUL.Yrs]]*AnnualizedCostStart)*OM.Table[[#This Row],[Base.Total.Cost]]/OM.Table[[#This Row],[Base.Life.Yrs]],0)))</f>
        <v>0</v>
      </c>
      <c r="EF40" s="93">
        <f>IF(ISNUMBER(OM.Table[[#This Row],[Base.Shift.Year]]),IF(OM.Table[[#This Row],[Measure.Life.Yrs]]-EF$4&lt;=0,0,
      IF(OM.Table[[#This Row],[Measure.Life.Yrs]]-EF$4&gt;=1,
          IF(OM.Table[[#This Row],[RUL.Yrs]]*AnnualizedCostStart-EF$4&gt;=1,0,
              IF(OM.Table[[#This Row],[RUL.Yrs]]*AnnualizedCostStart-EF$4&gt;=0,(1-(OM.Table[[#This Row],[RUL.Yrs]]*AnnualizedCostStart-EF$4))*OM.Table[[#This Row],[2nd.Base.Total.Cost]]/OM.Table[[#This Row],[2nd.Base.Life.Yrs]],OM.Table[[#This Row],[2nd.Base.Total.Cost]]/OM.Table[[#This Row],[2nd.Base.Life.Yrs]])),
      IF(OM.Table[[#This Row],[Measure.Life.Yrs]]-EF$4&gt;0,
          MIN(OM.Table[[#This Row],[Measure.Life.Yrs]]-EF$4,OM.Table[[#This Row],[Measure.Life.Yrs]]-OM.Table[[#This Row],[RUL.Yrs]]*AnnualizedCostStart)*OM.Table[[#This Row],[2nd.Base.Total.Cost]]/OM.Table[[#This Row],[2nd.Base.Life.Yrs]],0))),"NA")</f>
        <v>0</v>
      </c>
      <c r="EG40" s="93">
        <f>IF(ISNUMBER(OM.Table[[#This Row],[Base.Shift.Year]]),IF(OM.Table[[#This Row],[Measure.Life.Yrs]]-EG$4&lt;=0,0,
      IF(OM.Table[[#This Row],[Measure.Life.Yrs]]-EG$4&gt;=1,
          IF(OM.Table[[#This Row],[RUL.Yrs]]*AnnualizedCostStart-EG$4&gt;=1,0,
              IF(OM.Table[[#This Row],[RUL.Yrs]]*AnnualizedCostStart-EG$4&gt;=0,(1-(OM.Table[[#This Row],[RUL.Yrs]]*AnnualizedCostStart-EG$4))*OM.Table[[#This Row],[2nd.Base.Total.Cost]]/OM.Table[[#This Row],[2nd.Base.Life.Yrs]],OM.Table[[#This Row],[2nd.Base.Total.Cost]]/OM.Table[[#This Row],[2nd.Base.Life.Yrs]])),
      IF(OM.Table[[#This Row],[Measure.Life.Yrs]]-EG$4&gt;0,
          MIN(OM.Table[[#This Row],[Measure.Life.Yrs]]-EG$4,OM.Table[[#This Row],[Measure.Life.Yrs]]-OM.Table[[#This Row],[RUL.Yrs]]*AnnualizedCostStart)*OM.Table[[#This Row],[2nd.Base.Total.Cost]]/OM.Table[[#This Row],[2nd.Base.Life.Yrs]],0))),"NA")</f>
        <v>0.2563080000000002</v>
      </c>
      <c r="EH40" s="93">
        <f>IF(ISNUMBER(OM.Table[[#This Row],[Base.Shift.Year]]),IF(OM.Table[[#This Row],[Measure.Life.Yrs]]-EH$4&lt;=0,0,
      IF(OM.Table[[#This Row],[Measure.Life.Yrs]]-EH$4&gt;=1,
          IF(OM.Table[[#This Row],[RUL.Yrs]]*AnnualizedCostStart-EH$4&gt;=1,0,
              IF(OM.Table[[#This Row],[RUL.Yrs]]*AnnualizedCostStart-EH$4&gt;=0,(1-(OM.Table[[#This Row],[RUL.Yrs]]*AnnualizedCostStart-EH$4))*OM.Table[[#This Row],[2nd.Base.Total.Cost]]/OM.Table[[#This Row],[2nd.Base.Life.Yrs]],OM.Table[[#This Row],[2nd.Base.Total.Cost]]/OM.Table[[#This Row],[2nd.Base.Life.Yrs]])),
      IF(OM.Table[[#This Row],[Measure.Life.Yrs]]-EH$4&gt;0,
          MIN(OM.Table[[#This Row],[Measure.Life.Yrs]]-EH$4,OM.Table[[#This Row],[Measure.Life.Yrs]]-OM.Table[[#This Row],[RUL.Yrs]]*AnnualizedCostStart)*OM.Table[[#This Row],[2nd.Base.Total.Cost]]/OM.Table[[#This Row],[2nd.Base.Life.Yrs]],0))),"NA")</f>
        <v>1.4239333333333333</v>
      </c>
      <c r="EI40" s="93">
        <f>IF(ISNUMBER(OM.Table[[#This Row],[Base.Shift.Year]]),IF(OM.Table[[#This Row],[Measure.Life.Yrs]]-EI$4&lt;=0,0,
      IF(OM.Table[[#This Row],[Measure.Life.Yrs]]-EI$4&gt;=1,
          IF(OM.Table[[#This Row],[RUL.Yrs]]*AnnualizedCostStart-EI$4&gt;=1,0,
              IF(OM.Table[[#This Row],[RUL.Yrs]]*AnnualizedCostStart-EI$4&gt;=0,(1-(OM.Table[[#This Row],[RUL.Yrs]]*AnnualizedCostStart-EI$4))*OM.Table[[#This Row],[2nd.Base.Total.Cost]]/OM.Table[[#This Row],[2nd.Base.Life.Yrs]],OM.Table[[#This Row],[2nd.Base.Total.Cost]]/OM.Table[[#This Row],[2nd.Base.Life.Yrs]])),
      IF(OM.Table[[#This Row],[Measure.Life.Yrs]]-EI$4&gt;0,
          MIN(OM.Table[[#This Row],[Measure.Life.Yrs]]-EI$4,OM.Table[[#This Row],[Measure.Life.Yrs]]-OM.Table[[#This Row],[RUL.Yrs]]*AnnualizedCostStart)*OM.Table[[#This Row],[2nd.Base.Total.Cost]]/OM.Table[[#This Row],[2nd.Base.Life.Yrs]],0))),"NA")</f>
        <v>1.4239333333333333</v>
      </c>
      <c r="EJ40" s="93">
        <f>IF(ISNUMBER(OM.Table[[#This Row],[Base.Shift.Year]]),IF(OM.Table[[#This Row],[Measure.Life.Yrs]]-EJ$4&lt;=0,0,
      IF(OM.Table[[#This Row],[Measure.Life.Yrs]]-EJ$4&gt;=1,
          IF(OM.Table[[#This Row],[RUL.Yrs]]*AnnualizedCostStart-EJ$4&gt;=1,0,
              IF(OM.Table[[#This Row],[RUL.Yrs]]*AnnualizedCostStart-EJ$4&gt;=0,(1-(OM.Table[[#This Row],[RUL.Yrs]]*AnnualizedCostStart-EJ$4))*OM.Table[[#This Row],[2nd.Base.Total.Cost]]/OM.Table[[#This Row],[2nd.Base.Life.Yrs]],OM.Table[[#This Row],[2nd.Base.Total.Cost]]/OM.Table[[#This Row],[2nd.Base.Life.Yrs]])),
      IF(OM.Table[[#This Row],[Measure.Life.Yrs]]-EJ$4&gt;0,
          MIN(OM.Table[[#This Row],[Measure.Life.Yrs]]-EJ$4,OM.Table[[#This Row],[Measure.Life.Yrs]]-OM.Table[[#This Row],[RUL.Yrs]]*AnnualizedCostStart)*OM.Table[[#This Row],[2nd.Base.Total.Cost]]/OM.Table[[#This Row],[2nd.Base.Life.Yrs]],0))),"NA")</f>
        <v>1.4239333333333333</v>
      </c>
      <c r="EK40" s="93">
        <f>IF(ISNUMBER(OM.Table[[#This Row],[Base.Shift.Year]]),IF(OM.Table[[#This Row],[Measure.Life.Yrs]]-EK$4&lt;=0,0,
      IF(OM.Table[[#This Row],[Measure.Life.Yrs]]-EK$4&gt;=1,
          IF(OM.Table[[#This Row],[RUL.Yrs]]*AnnualizedCostStart-EK$4&gt;=1,0,
              IF(OM.Table[[#This Row],[RUL.Yrs]]*AnnualizedCostStart-EK$4&gt;=0,(1-(OM.Table[[#This Row],[RUL.Yrs]]*AnnualizedCostStart-EK$4))*OM.Table[[#This Row],[2nd.Base.Total.Cost]]/OM.Table[[#This Row],[2nd.Base.Life.Yrs]],OM.Table[[#This Row],[2nd.Base.Total.Cost]]/OM.Table[[#This Row],[2nd.Base.Life.Yrs]])),
      IF(OM.Table[[#This Row],[Measure.Life.Yrs]]-EK$4&gt;0,
          MIN(OM.Table[[#This Row],[Measure.Life.Yrs]]-EK$4,OM.Table[[#This Row],[Measure.Life.Yrs]]-OM.Table[[#This Row],[RUL.Yrs]]*AnnualizedCostStart)*OM.Table[[#This Row],[2nd.Base.Total.Cost]]/OM.Table[[#This Row],[2nd.Base.Life.Yrs]],0))),"NA")</f>
        <v>1.4239333333333333</v>
      </c>
      <c r="EL40" s="93">
        <f>IF(ISNUMBER(OM.Table[[#This Row],[Base.Shift.Year]]),IF(OM.Table[[#This Row],[Measure.Life.Yrs]]-EL$4&lt;=0,0,
      IF(OM.Table[[#This Row],[Measure.Life.Yrs]]-EL$4&gt;=1,
          IF(OM.Table[[#This Row],[RUL.Yrs]]*AnnualizedCostStart-EL$4&gt;=1,0,
              IF(OM.Table[[#This Row],[RUL.Yrs]]*AnnualizedCostStart-EL$4&gt;=0,(1-(OM.Table[[#This Row],[RUL.Yrs]]*AnnualizedCostStart-EL$4))*OM.Table[[#This Row],[2nd.Base.Total.Cost]]/OM.Table[[#This Row],[2nd.Base.Life.Yrs]],OM.Table[[#This Row],[2nd.Base.Total.Cost]]/OM.Table[[#This Row],[2nd.Base.Life.Yrs]])),
      IF(OM.Table[[#This Row],[Measure.Life.Yrs]]-EL$4&gt;0,
          MIN(OM.Table[[#This Row],[Measure.Life.Yrs]]-EL$4,OM.Table[[#This Row],[Measure.Life.Yrs]]-OM.Table[[#This Row],[RUL.Yrs]]*AnnualizedCostStart)*OM.Table[[#This Row],[2nd.Base.Total.Cost]]/OM.Table[[#This Row],[2nd.Base.Life.Yrs]],0))),"NA")</f>
        <v>1.4239333333333333</v>
      </c>
      <c r="EM40" s="93">
        <f>IF(ISNUMBER(OM.Table[[#This Row],[Base.Shift.Year]]),IF(OM.Table[[#This Row],[Measure.Life.Yrs]]-EM$4&lt;=0,0,
      IF(OM.Table[[#This Row],[Measure.Life.Yrs]]-EM$4&gt;=1,
          IF(OM.Table[[#This Row],[RUL.Yrs]]*AnnualizedCostStart-EM$4&gt;=1,0,
              IF(OM.Table[[#This Row],[RUL.Yrs]]*AnnualizedCostStart-EM$4&gt;=0,(1-(OM.Table[[#This Row],[RUL.Yrs]]*AnnualizedCostStart-EM$4))*OM.Table[[#This Row],[2nd.Base.Total.Cost]]/OM.Table[[#This Row],[2nd.Base.Life.Yrs]],OM.Table[[#This Row],[2nd.Base.Total.Cost]]/OM.Table[[#This Row],[2nd.Base.Life.Yrs]])),
      IF(OM.Table[[#This Row],[Measure.Life.Yrs]]-EM$4&gt;0,
          MIN(OM.Table[[#This Row],[Measure.Life.Yrs]]-EM$4,OM.Table[[#This Row],[Measure.Life.Yrs]]-OM.Table[[#This Row],[RUL.Yrs]]*AnnualizedCostStart)*OM.Table[[#This Row],[2nd.Base.Total.Cost]]/OM.Table[[#This Row],[2nd.Base.Life.Yrs]],0))),"NA")</f>
        <v>1.4239333333333333</v>
      </c>
      <c r="EN40" s="93">
        <f>IF(ISNUMBER(OM.Table[[#This Row],[Base.Shift.Year]]),IF(OM.Table[[#This Row],[Measure.Life.Yrs]]-EN$4&lt;=0,0,
      IF(OM.Table[[#This Row],[Measure.Life.Yrs]]-EN$4&gt;=1,
          IF(OM.Table[[#This Row],[RUL.Yrs]]*AnnualizedCostStart-EN$4&gt;=1,0,
              IF(OM.Table[[#This Row],[RUL.Yrs]]*AnnualizedCostStart-EN$4&gt;=0,(1-(OM.Table[[#This Row],[RUL.Yrs]]*AnnualizedCostStart-EN$4))*OM.Table[[#This Row],[2nd.Base.Total.Cost]]/OM.Table[[#This Row],[2nd.Base.Life.Yrs]],OM.Table[[#This Row],[2nd.Base.Total.Cost]]/OM.Table[[#This Row],[2nd.Base.Life.Yrs]])),
      IF(OM.Table[[#This Row],[Measure.Life.Yrs]]-EN$4&gt;0,
          MIN(OM.Table[[#This Row],[Measure.Life.Yrs]]-EN$4,OM.Table[[#This Row],[Measure.Life.Yrs]]-OM.Table[[#This Row],[RUL.Yrs]]*AnnualizedCostStart)*OM.Table[[#This Row],[2nd.Base.Total.Cost]]/OM.Table[[#This Row],[2nd.Base.Life.Yrs]],0))),"NA")</f>
        <v>1.4239333333333333</v>
      </c>
      <c r="EO40" s="93">
        <f>IF(ISNUMBER(OM.Table[[#This Row],[Base.Shift.Year]]),IF(OM.Table[[#This Row],[Measure.Life.Yrs]]-EO$4&lt;=0,0,
      IF(OM.Table[[#This Row],[Measure.Life.Yrs]]-EO$4&gt;=1,
          IF(OM.Table[[#This Row],[RUL.Yrs]]*AnnualizedCostStart-EO$4&gt;=1,0,
              IF(OM.Table[[#This Row],[RUL.Yrs]]*AnnualizedCostStart-EO$4&gt;=0,(1-(OM.Table[[#This Row],[RUL.Yrs]]*AnnualizedCostStart-EO$4))*OM.Table[[#This Row],[2nd.Base.Total.Cost]]/OM.Table[[#This Row],[2nd.Base.Life.Yrs]],OM.Table[[#This Row],[2nd.Base.Total.Cost]]/OM.Table[[#This Row],[2nd.Base.Life.Yrs]])),
      IF(OM.Table[[#This Row],[Measure.Life.Yrs]]-EO$4&gt;0,
          MIN(OM.Table[[#This Row],[Measure.Life.Yrs]]-EO$4,OM.Table[[#This Row],[Measure.Life.Yrs]]-OM.Table[[#This Row],[RUL.Yrs]]*AnnualizedCostStart)*OM.Table[[#This Row],[2nd.Base.Total.Cost]]/OM.Table[[#This Row],[2nd.Base.Life.Yrs]],0))),"NA")</f>
        <v>0.14239333333333282</v>
      </c>
      <c r="EP40" s="93">
        <f>IF(ISNUMBER(OM.Table[[#This Row],[Base.Shift.Year]]),IF(OM.Table[[#This Row],[Measure.Life.Yrs]]-EP$4&lt;=0,0,
      IF(OM.Table[[#This Row],[Measure.Life.Yrs]]-EP$4&gt;=1,
          IF(OM.Table[[#This Row],[RUL.Yrs]]*AnnualizedCostStart-EP$4&gt;=1,0,
              IF(OM.Table[[#This Row],[RUL.Yrs]]*AnnualizedCostStart-EP$4&gt;=0,(1-(OM.Table[[#This Row],[RUL.Yrs]]*AnnualizedCostStart-EP$4))*OM.Table[[#This Row],[2nd.Base.Total.Cost]]/OM.Table[[#This Row],[2nd.Base.Life.Yrs]],OM.Table[[#This Row],[2nd.Base.Total.Cost]]/OM.Table[[#This Row],[2nd.Base.Life.Yrs]])),
      IF(OM.Table[[#This Row],[Measure.Life.Yrs]]-EP$4&gt;0,
          MIN(OM.Table[[#This Row],[Measure.Life.Yrs]]-EP$4,OM.Table[[#This Row],[Measure.Life.Yrs]]-OM.Table[[#This Row],[RUL.Yrs]]*AnnualizedCostStart)*OM.Table[[#This Row],[2nd.Base.Total.Cost]]/OM.Table[[#This Row],[2nd.Base.Life.Yrs]],0))),"NA")</f>
        <v>0</v>
      </c>
      <c r="EQ40" s="93">
        <f>IF(ISNUMBER(OM.Table[[#This Row],[Base.Shift.Year]]),IF(OM.Table[[#This Row],[Measure.Life.Yrs]]-EQ$4&lt;=0,0,
      IF(OM.Table[[#This Row],[Measure.Life.Yrs]]-EQ$4&gt;=1,
          IF(OM.Table[[#This Row],[RUL.Yrs]]*AnnualizedCostStart-EQ$4&gt;=1,0,
              IF(OM.Table[[#This Row],[RUL.Yrs]]*AnnualizedCostStart-EQ$4&gt;=0,(1-(OM.Table[[#This Row],[RUL.Yrs]]*AnnualizedCostStart-EQ$4))*OM.Table[[#This Row],[2nd.Base.Total.Cost]]/OM.Table[[#This Row],[2nd.Base.Life.Yrs]],OM.Table[[#This Row],[2nd.Base.Total.Cost]]/OM.Table[[#This Row],[2nd.Base.Life.Yrs]])),
      IF(OM.Table[[#This Row],[Measure.Life.Yrs]]-EQ$4&gt;0,
          MIN(OM.Table[[#This Row],[Measure.Life.Yrs]]-EQ$4,OM.Table[[#This Row],[Measure.Life.Yrs]]-OM.Table[[#This Row],[RUL.Yrs]]*AnnualizedCostStart)*OM.Table[[#This Row],[2nd.Base.Total.Cost]]/OM.Table[[#This Row],[2nd.Base.Life.Yrs]],0))),"NA")</f>
        <v>0</v>
      </c>
      <c r="ER40" s="93">
        <f>IF(ISNUMBER(OM.Table[[#This Row],[Base.Shift.Year]]),IF(OM.Table[[#This Row],[Measure.Life.Yrs]]-ER$4&lt;=0,0,
      IF(OM.Table[[#This Row],[Measure.Life.Yrs]]-ER$4&gt;=1,
          IF(OM.Table[[#This Row],[RUL.Yrs]]*AnnualizedCostStart-ER$4&gt;=1,0,
              IF(OM.Table[[#This Row],[RUL.Yrs]]*AnnualizedCostStart-ER$4&gt;=0,(1-(OM.Table[[#This Row],[RUL.Yrs]]*AnnualizedCostStart-ER$4))*OM.Table[[#This Row],[2nd.Base.Total.Cost]]/OM.Table[[#This Row],[2nd.Base.Life.Yrs]],OM.Table[[#This Row],[2nd.Base.Total.Cost]]/OM.Table[[#This Row],[2nd.Base.Life.Yrs]])),
      IF(OM.Table[[#This Row],[Measure.Life.Yrs]]-ER$4&gt;0,
          MIN(OM.Table[[#This Row],[Measure.Life.Yrs]]-ER$4,OM.Table[[#This Row],[Measure.Life.Yrs]]-OM.Table[[#This Row],[RUL.Yrs]]*AnnualizedCostStart)*OM.Table[[#This Row],[2nd.Base.Total.Cost]]/OM.Table[[#This Row],[2nd.Base.Life.Yrs]],0))),"NA")</f>
        <v>0</v>
      </c>
      <c r="ES40" s="93">
        <f>IF(ISNUMBER(OM.Table[[#This Row],[Base.Shift.Year]]),IF(OM.Table[[#This Row],[Measure.Life.Yrs]]-ES$4&lt;=0,0,
      IF(OM.Table[[#This Row],[Measure.Life.Yrs]]-ES$4&gt;=1,
          IF(OM.Table[[#This Row],[RUL.Yrs]]*AnnualizedCostStart-ES$4&gt;=1,0,
              IF(OM.Table[[#This Row],[RUL.Yrs]]*AnnualizedCostStart-ES$4&gt;=0,(1-(OM.Table[[#This Row],[RUL.Yrs]]*AnnualizedCostStart-ES$4))*OM.Table[[#This Row],[2nd.Base.Total.Cost]]/OM.Table[[#This Row],[2nd.Base.Life.Yrs]],OM.Table[[#This Row],[2nd.Base.Total.Cost]]/OM.Table[[#This Row],[2nd.Base.Life.Yrs]])),
      IF(OM.Table[[#This Row],[Measure.Life.Yrs]]-ES$4&gt;0,
          MIN(OM.Table[[#This Row],[Measure.Life.Yrs]]-ES$4,OM.Table[[#This Row],[Measure.Life.Yrs]]-OM.Table[[#This Row],[RUL.Yrs]]*AnnualizedCostStart)*OM.Table[[#This Row],[2nd.Base.Total.Cost]]/OM.Table[[#This Row],[2nd.Base.Life.Yrs]],0))),"NA")</f>
        <v>0</v>
      </c>
      <c r="ET40" s="93">
        <f>IF(ISNUMBER(OM.Table[[#This Row],[Base.Shift.Year]]),IF(OM.Table[[#This Row],[Measure.Life.Yrs]]-ET$4&lt;=0,0,
      IF(OM.Table[[#This Row],[Measure.Life.Yrs]]-ET$4&gt;=1,
          IF(OM.Table[[#This Row],[RUL.Yrs]]*AnnualizedCostStart-ET$4&gt;=1,0,
              IF(OM.Table[[#This Row],[RUL.Yrs]]*AnnualizedCostStart-ET$4&gt;=0,(1-(OM.Table[[#This Row],[RUL.Yrs]]*AnnualizedCostStart-ET$4))*OM.Table[[#This Row],[2nd.Base.Total.Cost]]/OM.Table[[#This Row],[2nd.Base.Life.Yrs]],OM.Table[[#This Row],[2nd.Base.Total.Cost]]/OM.Table[[#This Row],[2nd.Base.Life.Yrs]])),
      IF(OM.Table[[#This Row],[Measure.Life.Yrs]]-ET$4&gt;0,
          MIN(OM.Table[[#This Row],[Measure.Life.Yrs]]-ET$4,OM.Table[[#This Row],[Measure.Life.Yrs]]-OM.Table[[#This Row],[RUL.Yrs]]*AnnualizedCostStart)*OM.Table[[#This Row],[2nd.Base.Total.Cost]]/OM.Table[[#This Row],[2nd.Base.Life.Yrs]],0))),"NA")</f>
        <v>0</v>
      </c>
      <c r="EU40" s="93">
        <f>IF(ISNUMBER(OM.Table[[#This Row],[Base.Shift.Year]]),IF(OM.Table[[#This Row],[Measure.Life.Yrs]]-EU$4&lt;=0,0,
      IF(OM.Table[[#This Row],[Measure.Life.Yrs]]-EU$4&gt;=1,
          IF(OM.Table[[#This Row],[RUL.Yrs]]*AnnualizedCostStart-EU$4&gt;=1,0,
              IF(OM.Table[[#This Row],[RUL.Yrs]]*AnnualizedCostStart-EU$4&gt;=0,(1-(OM.Table[[#This Row],[RUL.Yrs]]*AnnualizedCostStart-EU$4))*OM.Table[[#This Row],[2nd.Base.Total.Cost]]/OM.Table[[#This Row],[2nd.Base.Life.Yrs]],OM.Table[[#This Row],[2nd.Base.Total.Cost]]/OM.Table[[#This Row],[2nd.Base.Life.Yrs]])),
      IF(OM.Table[[#This Row],[Measure.Life.Yrs]]-EU$4&gt;0,
          MIN(OM.Table[[#This Row],[Measure.Life.Yrs]]-EU$4,OM.Table[[#This Row],[Measure.Life.Yrs]]-OM.Table[[#This Row],[RUL.Yrs]]*AnnualizedCostStart)*OM.Table[[#This Row],[2nd.Base.Total.Cost]]/OM.Table[[#This Row],[2nd.Base.Life.Yrs]],0))),"NA")</f>
        <v>0</v>
      </c>
      <c r="EV40" s="93">
        <f>IF(ISNUMBER(OM.Table[[#This Row],[Base.Shift.Year]]),IF(OM.Table[[#This Row],[Measure.Life.Yrs]]-EV$4&lt;=0,0,
      IF(OM.Table[[#This Row],[Measure.Life.Yrs]]-EV$4&gt;=1,
          IF(OM.Table[[#This Row],[RUL.Yrs]]*AnnualizedCostStart-EV$4&gt;=1,0,
              IF(OM.Table[[#This Row],[RUL.Yrs]]*AnnualizedCostStart-EV$4&gt;=0,(1-(OM.Table[[#This Row],[RUL.Yrs]]*AnnualizedCostStart-EV$4))*OM.Table[[#This Row],[2nd.Base.Total.Cost]]/OM.Table[[#This Row],[2nd.Base.Life.Yrs]],OM.Table[[#This Row],[2nd.Base.Total.Cost]]/OM.Table[[#This Row],[2nd.Base.Life.Yrs]])),
      IF(OM.Table[[#This Row],[Measure.Life.Yrs]]-EV$4&gt;0,
          MIN(OM.Table[[#This Row],[Measure.Life.Yrs]]-EV$4,OM.Table[[#This Row],[Measure.Life.Yrs]]-OM.Table[[#This Row],[RUL.Yrs]]*AnnualizedCostStart)*OM.Table[[#This Row],[2nd.Base.Total.Cost]]/OM.Table[[#This Row],[2nd.Base.Life.Yrs]],0))),"NA")</f>
        <v>0</v>
      </c>
      <c r="EW40" s="93">
        <f>IF(ISNUMBER(OM.Table[[#This Row],[Base.Shift.Year]]),IF(OM.Table[[#This Row],[Measure.Life.Yrs]]-EW$4&lt;=0,0,
      IF(OM.Table[[#This Row],[Measure.Life.Yrs]]-EW$4&gt;=1,
          IF(OM.Table[[#This Row],[RUL.Yrs]]*AnnualizedCostStart-EW$4&gt;=1,0,
              IF(OM.Table[[#This Row],[RUL.Yrs]]*AnnualizedCostStart-EW$4&gt;=0,(1-(OM.Table[[#This Row],[RUL.Yrs]]*AnnualizedCostStart-EW$4))*OM.Table[[#This Row],[2nd.Base.Total.Cost]]/OM.Table[[#This Row],[2nd.Base.Life.Yrs]],OM.Table[[#This Row],[2nd.Base.Total.Cost]]/OM.Table[[#This Row],[2nd.Base.Life.Yrs]])),
      IF(OM.Table[[#This Row],[Measure.Life.Yrs]]-EW$4&gt;0,
          MIN(OM.Table[[#This Row],[Measure.Life.Yrs]]-EW$4,OM.Table[[#This Row],[Measure.Life.Yrs]]-OM.Table[[#This Row],[RUL.Yrs]]*AnnualizedCostStart)*OM.Table[[#This Row],[2nd.Base.Total.Cost]]/OM.Table[[#This Row],[2nd.Base.Life.Yrs]],0))),"NA")</f>
        <v>0</v>
      </c>
      <c r="EX40" s="124">
        <f>IF(ISNUMBER(OM.Table[[#This Row],[Base.Shift.Year]]),IF(OM.Table[[#This Row],[Measure.Life.Yrs]]-EX$4&lt;=0,0,
      IF(OM.Table[[#This Row],[Measure.Life.Yrs]]-EX$4&gt;=1,
          IF(OM.Table[[#This Row],[RUL.Yrs]]*AnnualizedCostStart-EX$4&gt;=1,0,
              IF(OM.Table[[#This Row],[RUL.Yrs]]*AnnualizedCostStart-EX$4&gt;=0,(1-(OM.Table[[#This Row],[RUL.Yrs]]*AnnualizedCostStart-EX$4))*OM.Table[[#This Row],[2nd.Base.Total.Cost]]/OM.Table[[#This Row],[2nd.Base.Life.Yrs]],OM.Table[[#This Row],[2nd.Base.Total.Cost]]/OM.Table[[#This Row],[2nd.Base.Life.Yrs]])),
      IF(OM.Table[[#This Row],[Measure.Life.Yrs]]-EX$4&gt;0,
          MIN(OM.Table[[#This Row],[Measure.Life.Yrs]]-EX$4,OM.Table[[#This Row],[Measure.Life.Yrs]]-OM.Table[[#This Row],[RUL.Yrs]]*AnnualizedCostStart)*OM.Table[[#This Row],[2nd.Base.Total.Cost]]/OM.Table[[#This Row],[2nd.Base.Life.Yrs]],0))),"NA")</f>
        <v>0</v>
      </c>
      <c r="EY40" s="93">
        <f>IF(ISNUMBER(OM.Table[[#This Row],[Base.Shift.Year]]),IF(OM.Table[[#This Row],[Measure.Life.Yrs]]-EY$4&lt;=0,0,
      IF(OM.Table[[#This Row],[Measure.Life.Yrs]]-EY$4&gt;=1,
          IF(OM.Table[[#This Row],[RUL.Yrs]]*AnnualizedCostStart-EY$4&gt;=1,0,
              IF(OM.Table[[#This Row],[RUL.Yrs]]*AnnualizedCostStart-EY$4&gt;=0,(1-(OM.Table[[#This Row],[RUL.Yrs]]*AnnualizedCostStart-EY$4))*OM.Table[[#This Row],[2nd.Base.Total.Cost]]/OM.Table[[#This Row],[2nd.Base.Life.Yrs]],OM.Table[[#This Row],[2nd.Base.Total.Cost]]/OM.Table[[#This Row],[2nd.Base.Life.Yrs]])),
      IF(OM.Table[[#This Row],[Measure.Life.Yrs]]-EY$4&gt;0,
          MIN(OM.Table[[#This Row],[Measure.Life.Yrs]]-EY$4,OM.Table[[#This Row],[Measure.Life.Yrs]]-OM.Table[[#This Row],[RUL.Yrs]]*AnnualizedCostStart)*OM.Table[[#This Row],[2nd.Base.Total.Cost]]/OM.Table[[#This Row],[2nd.Base.Life.Yrs]],0))),"NA")</f>
        <v>0</v>
      </c>
      <c r="EZ40" s="94">
        <f>IF(ISNUMBER(OM.Table[[#This Row],[Base.Shift.Year]]),IF(OM.Table[[#This Row],[Measure.Life.Yrs]]-EZ$4&lt;=0,0,
      IF(OM.Table[[#This Row],[Measure.Life.Yrs]]-EZ$4&gt;=1,
          IF(OM.Table[[#This Row],[RUL.Yrs]]*AnnualizedCostStart-EZ$4&gt;=1,0,
              IF(OM.Table[[#This Row],[RUL.Yrs]]*AnnualizedCostStart-EZ$4&gt;=0,(1-(OM.Table[[#This Row],[RUL.Yrs]]*AnnualizedCostStart-EZ$4))*OM.Table[[#This Row],[2nd.Base.Total.Cost]]/OM.Table[[#This Row],[2nd.Base.Life.Yrs]],OM.Table[[#This Row],[2nd.Base.Total.Cost]]/OM.Table[[#This Row],[2nd.Base.Life.Yrs]])),
      IF(OM.Table[[#This Row],[Measure.Life.Yrs]]-EZ$4&gt;0,
          MIN(OM.Table[[#This Row],[Measure.Life.Yrs]]-EZ$4,OM.Table[[#This Row],[Measure.Life.Yrs]]-OM.Table[[#This Row],[RUL.Yrs]]*AnnualizedCostStart)*OM.Table[[#This Row],[2nd.Base.Total.Cost]]/OM.Table[[#This Row],[2nd.Base.Life.Yrs]],0))),"NA")</f>
        <v>0</v>
      </c>
      <c r="FA40" s="96" t="s">
        <v>382</v>
      </c>
    </row>
  </sheetData>
  <mergeCells count="25">
    <mergeCell ref="T3:T4"/>
    <mergeCell ref="S3:S4"/>
    <mergeCell ref="R3:R4"/>
    <mergeCell ref="Q3:Q4"/>
    <mergeCell ref="Y3:Y4"/>
    <mergeCell ref="X3:X4"/>
    <mergeCell ref="W3:W4"/>
    <mergeCell ref="V3:V4"/>
    <mergeCell ref="U3:U4"/>
    <mergeCell ref="AD3:AD4"/>
    <mergeCell ref="AC3:AC4"/>
    <mergeCell ref="AB3:AB4"/>
    <mergeCell ref="AA3:AA4"/>
    <mergeCell ref="Z3:Z4"/>
    <mergeCell ref="P3:P4"/>
    <mergeCell ref="O3:O4"/>
    <mergeCell ref="N3:N4"/>
    <mergeCell ref="M3:M4"/>
    <mergeCell ref="L3:L4"/>
    <mergeCell ref="F3:F4"/>
    <mergeCell ref="K3:K4"/>
    <mergeCell ref="J3:J4"/>
    <mergeCell ref="I3:I4"/>
    <mergeCell ref="H3:H4"/>
    <mergeCell ref="G3:G4"/>
  </mergeCells>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85" zoomScaleNormal="85" workbookViewId="0">
      <pane ySplit="10" topLeftCell="A11" activePane="bottomLeft" state="frozen"/>
      <selection pane="bottomLeft" activeCell="M10" sqref="M10"/>
    </sheetView>
  </sheetViews>
  <sheetFormatPr defaultRowHeight="14.4" x14ac:dyDescent="0.3"/>
  <cols>
    <col min="1" max="1" width="47.5546875" style="2" customWidth="1"/>
    <col min="2" max="29" width="5.33203125" customWidth="1"/>
  </cols>
  <sheetData>
    <row r="1" spans="1:29" x14ac:dyDescent="0.3">
      <c r="A1" s="59" t="s">
        <v>353</v>
      </c>
    </row>
    <row r="2" spans="1:29" x14ac:dyDescent="0.3">
      <c r="A2" s="59"/>
    </row>
    <row r="3" spans="1:29" x14ac:dyDescent="0.3">
      <c r="A3" s="151" t="s">
        <v>389</v>
      </c>
    </row>
    <row r="4" spans="1:29" x14ac:dyDescent="0.3">
      <c r="A4" t="s">
        <v>348</v>
      </c>
      <c r="C4" s="112" t="s">
        <v>358</v>
      </c>
    </row>
    <row r="5" spans="1:29" x14ac:dyDescent="0.3">
      <c r="A5" t="s">
        <v>341</v>
      </c>
      <c r="C5" t="s">
        <v>359</v>
      </c>
    </row>
    <row r="6" spans="1:29" x14ac:dyDescent="0.3">
      <c r="A6" t="s">
        <v>342</v>
      </c>
      <c r="C6" s="112" t="s">
        <v>343</v>
      </c>
    </row>
    <row r="7" spans="1:29" x14ac:dyDescent="0.3">
      <c r="A7" t="s">
        <v>387</v>
      </c>
      <c r="C7" t="s">
        <v>360</v>
      </c>
    </row>
    <row r="8" spans="1:29" x14ac:dyDescent="0.3">
      <c r="A8" t="s">
        <v>388</v>
      </c>
      <c r="C8" t="s">
        <v>361</v>
      </c>
    </row>
    <row r="9" spans="1:29" x14ac:dyDescent="0.3">
      <c r="A9" s="103" t="s">
        <v>399</v>
      </c>
    </row>
    <row r="10" spans="1:29" x14ac:dyDescent="0.3">
      <c r="A10" s="103" t="s">
        <v>400</v>
      </c>
    </row>
    <row r="11" spans="1:29" x14ac:dyDescent="0.3">
      <c r="C11" s="112"/>
      <c r="D11" s="112"/>
    </row>
    <row r="12" spans="1:29" s="127" customFormat="1" x14ac:dyDescent="0.3">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1:29" ht="15" thickBot="1" x14ac:dyDescent="0.35">
      <c r="A13" s="59" t="s">
        <v>346</v>
      </c>
      <c r="B13" s="112" t="s">
        <v>352</v>
      </c>
      <c r="C13" s="59"/>
      <c r="D13" s="59"/>
    </row>
    <row r="14" spans="1:29" s="103" customFormat="1" ht="15" thickBot="1" x14ac:dyDescent="0.35">
      <c r="A14" s="164" t="s">
        <v>398</v>
      </c>
      <c r="B14" s="186">
        <v>0</v>
      </c>
      <c r="C14" s="187"/>
      <c r="D14" s="187"/>
      <c r="E14" s="188"/>
      <c r="F14" s="186">
        <v>1</v>
      </c>
      <c r="G14" s="187"/>
      <c r="H14" s="187"/>
      <c r="I14" s="188"/>
      <c r="J14" s="186">
        <v>2</v>
      </c>
      <c r="K14" s="187"/>
      <c r="L14" s="187"/>
      <c r="M14" s="188"/>
      <c r="N14" s="186">
        <v>3</v>
      </c>
      <c r="O14" s="187"/>
      <c r="P14" s="187"/>
      <c r="Q14" s="188"/>
      <c r="R14" s="186">
        <v>4</v>
      </c>
      <c r="S14" s="187"/>
      <c r="T14" s="187"/>
      <c r="U14" s="188"/>
      <c r="V14" s="189">
        <v>5</v>
      </c>
      <c r="W14" s="190"/>
      <c r="X14" s="190"/>
      <c r="Y14" s="191"/>
      <c r="Z14" s="189">
        <v>6</v>
      </c>
      <c r="AA14" s="190"/>
      <c r="AB14" s="190"/>
      <c r="AC14" s="191"/>
    </row>
    <row r="15" spans="1:29" s="103" customFormat="1" ht="15" thickBot="1" x14ac:dyDescent="0.35">
      <c r="A15" s="104"/>
      <c r="B15" s="105" t="s">
        <v>385</v>
      </c>
      <c r="C15" s="111"/>
      <c r="D15" s="111"/>
      <c r="E15" s="141"/>
      <c r="F15" s="140"/>
      <c r="G15" s="111"/>
      <c r="H15" s="111"/>
      <c r="I15" s="141"/>
      <c r="J15" s="140"/>
      <c r="K15" s="111"/>
      <c r="L15" s="111"/>
      <c r="M15" s="141"/>
      <c r="N15" s="140"/>
      <c r="O15" s="111"/>
      <c r="P15" s="111"/>
      <c r="Q15" s="141"/>
      <c r="R15" s="140"/>
      <c r="S15" s="111"/>
      <c r="T15" s="111"/>
      <c r="U15" s="141"/>
      <c r="V15" s="146"/>
      <c r="W15" s="116"/>
      <c r="X15" s="116"/>
      <c r="Y15" s="147"/>
      <c r="Z15" s="150"/>
      <c r="AA15" s="108"/>
      <c r="AB15" s="116"/>
      <c r="AC15" s="147"/>
    </row>
    <row r="16" spans="1:29" ht="15" thickBot="1" x14ac:dyDescent="0.35">
      <c r="B16" s="160" t="s">
        <v>393</v>
      </c>
      <c r="C16" s="161"/>
      <c r="D16" s="161"/>
      <c r="E16" s="161"/>
      <c r="F16" s="161"/>
      <c r="G16" s="162"/>
      <c r="H16" s="139"/>
      <c r="I16" s="149"/>
      <c r="J16" s="157"/>
      <c r="K16" s="139"/>
      <c r="L16" s="139"/>
      <c r="M16" s="149"/>
      <c r="N16" s="157"/>
      <c r="O16" s="139"/>
      <c r="P16" s="139"/>
      <c r="Q16" s="149"/>
      <c r="R16" s="157"/>
      <c r="S16" s="139"/>
      <c r="T16" s="139"/>
      <c r="U16" s="149"/>
      <c r="V16" s="157"/>
      <c r="W16" s="116"/>
      <c r="X16" s="116"/>
      <c r="Y16" s="149"/>
      <c r="Z16" s="133"/>
      <c r="AA16" s="8"/>
      <c r="AB16" s="116"/>
      <c r="AC16" s="149"/>
    </row>
    <row r="17" spans="1:29" ht="15" thickBot="1" x14ac:dyDescent="0.35">
      <c r="B17" s="157"/>
      <c r="C17" s="139"/>
      <c r="D17" s="139"/>
      <c r="E17" s="149"/>
      <c r="F17" s="110" t="s">
        <v>394</v>
      </c>
      <c r="G17" s="144"/>
      <c r="H17" s="145"/>
      <c r="I17" s="115"/>
      <c r="J17" s="115"/>
      <c r="K17" s="115"/>
      <c r="L17" s="115"/>
      <c r="M17" s="144"/>
      <c r="N17" s="145"/>
      <c r="O17" s="115"/>
      <c r="P17" s="115"/>
      <c r="Q17" s="144"/>
      <c r="R17" s="145"/>
      <c r="S17" s="115"/>
      <c r="T17" s="115"/>
      <c r="U17" s="144"/>
      <c r="V17" s="148"/>
      <c r="W17" s="116"/>
      <c r="X17" s="116"/>
      <c r="Y17" s="149"/>
      <c r="Z17" s="133"/>
      <c r="AA17" s="8"/>
      <c r="AB17" s="116"/>
      <c r="AC17" s="149"/>
    </row>
    <row r="18" spans="1:29" ht="15" thickBot="1" x14ac:dyDescent="0.35">
      <c r="B18" s="109" t="s">
        <v>395</v>
      </c>
      <c r="C18" s="114"/>
      <c r="D18" s="114"/>
      <c r="E18" s="143"/>
      <c r="F18" s="142"/>
      <c r="G18" s="114"/>
      <c r="H18" s="114"/>
      <c r="I18" s="143"/>
      <c r="J18" s="142"/>
      <c r="K18" s="114"/>
      <c r="L18" s="114"/>
      <c r="M18" s="143"/>
      <c r="N18" s="142"/>
      <c r="O18" s="117"/>
      <c r="P18" s="139"/>
      <c r="Q18" s="149"/>
      <c r="R18" s="157"/>
      <c r="S18" s="139"/>
      <c r="T18" s="139"/>
      <c r="U18" s="149"/>
      <c r="V18" s="157"/>
      <c r="W18" s="116"/>
      <c r="X18" s="116"/>
      <c r="Y18" s="149"/>
      <c r="Z18" s="133"/>
      <c r="AA18" s="8"/>
      <c r="AB18" s="116"/>
      <c r="AC18" s="149"/>
    </row>
    <row r="19" spans="1:29" ht="15" thickBot="1" x14ac:dyDescent="0.35">
      <c r="B19" s="157"/>
      <c r="C19" s="139"/>
      <c r="D19" s="139"/>
      <c r="E19" s="149"/>
      <c r="F19" s="157"/>
      <c r="G19" s="139"/>
      <c r="H19" s="139"/>
      <c r="I19" s="149"/>
      <c r="J19" s="157"/>
      <c r="K19" s="139"/>
      <c r="L19" s="152" t="s">
        <v>392</v>
      </c>
      <c r="M19" s="153"/>
      <c r="N19" s="154"/>
      <c r="O19" s="155"/>
      <c r="P19" s="155"/>
      <c r="Q19" s="153"/>
      <c r="R19" s="154"/>
      <c r="S19" s="155"/>
      <c r="T19" s="155"/>
      <c r="U19" s="153"/>
      <c r="V19" s="156"/>
      <c r="W19" s="116"/>
      <c r="X19" s="116"/>
      <c r="Y19" s="149"/>
      <c r="Z19" s="133"/>
      <c r="AA19" s="8"/>
      <c r="AB19" s="116"/>
      <c r="AC19" s="149"/>
    </row>
    <row r="20" spans="1:29" x14ac:dyDescent="0.3">
      <c r="A20" s="113" t="s">
        <v>344</v>
      </c>
      <c r="B20" s="133"/>
      <c r="C20" s="8"/>
      <c r="D20" s="8"/>
      <c r="E20" s="134"/>
      <c r="F20" s="133"/>
      <c r="G20" s="8"/>
      <c r="H20" s="8"/>
      <c r="I20" s="134"/>
      <c r="J20" s="133"/>
      <c r="K20" s="8"/>
      <c r="L20" s="8"/>
      <c r="M20" s="134"/>
      <c r="N20" s="133"/>
      <c r="O20" s="8"/>
      <c r="P20" s="8"/>
      <c r="Q20" s="134"/>
      <c r="R20" s="133"/>
      <c r="S20" s="8"/>
      <c r="T20" s="8"/>
      <c r="U20" s="134"/>
      <c r="V20" s="133"/>
      <c r="W20" s="8"/>
      <c r="X20" s="8"/>
      <c r="Y20" s="134"/>
      <c r="Z20" s="133"/>
      <c r="AA20" s="8"/>
      <c r="AB20" s="8"/>
      <c r="AC20" s="134"/>
    </row>
    <row r="21" spans="1:29" ht="29.4" thickBot="1" x14ac:dyDescent="0.35">
      <c r="A21" s="104" t="str">
        <f>"Annualized Baseline Cost is applied from 60% of Baseline Component Life until Measure Life expires."</f>
        <v>Annualized Baseline Cost is applied from 60% of Baseline Component Life until Measure Life expires.</v>
      </c>
      <c r="B21" s="135" t="s">
        <v>339</v>
      </c>
      <c r="C21" s="128" t="s">
        <v>339</v>
      </c>
      <c r="D21" s="128" t="s">
        <v>339</v>
      </c>
      <c r="E21" s="136" t="s">
        <v>339</v>
      </c>
      <c r="F21" s="138" t="s">
        <v>340</v>
      </c>
      <c r="G21" s="129" t="s">
        <v>340</v>
      </c>
      <c r="H21" s="129" t="s">
        <v>340</v>
      </c>
      <c r="I21" s="137" t="s">
        <v>340</v>
      </c>
      <c r="J21" s="138" t="s">
        <v>340</v>
      </c>
      <c r="K21" s="129" t="s">
        <v>340</v>
      </c>
      <c r="L21" s="129" t="s">
        <v>340</v>
      </c>
      <c r="M21" s="137" t="s">
        <v>340</v>
      </c>
      <c r="N21" s="138" t="s">
        <v>340</v>
      </c>
      <c r="O21" s="129" t="s">
        <v>340</v>
      </c>
      <c r="P21" s="129" t="s">
        <v>340</v>
      </c>
      <c r="Q21" s="137" t="s">
        <v>340</v>
      </c>
      <c r="R21" s="138" t="s">
        <v>340</v>
      </c>
      <c r="S21" s="129" t="s">
        <v>340</v>
      </c>
      <c r="T21" s="129" t="s">
        <v>340</v>
      </c>
      <c r="U21" s="137" t="s">
        <v>340</v>
      </c>
      <c r="V21" s="138" t="s">
        <v>340</v>
      </c>
      <c r="W21" s="128" t="s">
        <v>339</v>
      </c>
      <c r="X21" s="128" t="s">
        <v>339</v>
      </c>
      <c r="Y21" s="136" t="s">
        <v>339</v>
      </c>
      <c r="Z21" s="135" t="s">
        <v>339</v>
      </c>
      <c r="AA21" s="128" t="s">
        <v>339</v>
      </c>
      <c r="AB21" s="128" t="s">
        <v>339</v>
      </c>
      <c r="AC21" s="136" t="s">
        <v>339</v>
      </c>
    </row>
    <row r="22" spans="1:29" ht="58.2" customHeight="1" thickBot="1" x14ac:dyDescent="0.35">
      <c r="A22" s="104" t="s">
        <v>383</v>
      </c>
      <c r="B22" s="175">
        <v>0</v>
      </c>
      <c r="C22" s="176"/>
      <c r="D22" s="176"/>
      <c r="E22" s="177"/>
      <c r="F22" s="181">
        <v>2</v>
      </c>
      <c r="G22" s="182"/>
      <c r="H22" s="182"/>
      <c r="I22" s="183"/>
      <c r="J22" s="181">
        <v>2</v>
      </c>
      <c r="K22" s="182"/>
      <c r="L22" s="182"/>
      <c r="M22" s="183"/>
      <c r="N22" s="181">
        <v>2</v>
      </c>
      <c r="O22" s="182"/>
      <c r="P22" s="182"/>
      <c r="Q22" s="183"/>
      <c r="R22" s="181">
        <v>2</v>
      </c>
      <c r="S22" s="182"/>
      <c r="T22" s="182"/>
      <c r="U22" s="183"/>
      <c r="V22" s="178" t="s">
        <v>350</v>
      </c>
      <c r="W22" s="179"/>
      <c r="X22" s="179"/>
      <c r="Y22" s="180"/>
      <c r="Z22" s="175">
        <v>0</v>
      </c>
      <c r="AA22" s="176"/>
      <c r="AB22" s="176"/>
      <c r="AC22" s="177"/>
    </row>
    <row r="23" spans="1:29" x14ac:dyDescent="0.3">
      <c r="A23" s="104"/>
      <c r="B23" s="130"/>
      <c r="C23" s="131"/>
      <c r="D23" s="131"/>
      <c r="E23" s="132"/>
      <c r="F23" s="130"/>
      <c r="G23" s="131"/>
      <c r="H23" s="131"/>
      <c r="I23" s="132"/>
      <c r="J23" s="130"/>
      <c r="K23" s="131"/>
      <c r="L23" s="131"/>
      <c r="M23" s="132"/>
      <c r="N23" s="130"/>
      <c r="O23" s="131"/>
      <c r="P23" s="131"/>
      <c r="Q23" s="132"/>
      <c r="R23" s="130"/>
      <c r="S23" s="131"/>
      <c r="T23" s="131"/>
      <c r="U23" s="132"/>
      <c r="V23" s="130"/>
      <c r="W23" s="131"/>
      <c r="X23" s="131"/>
      <c r="Y23" s="132"/>
      <c r="Z23" s="130"/>
      <c r="AA23" s="131"/>
      <c r="AB23" s="131"/>
      <c r="AC23" s="132"/>
    </row>
    <row r="24" spans="1:29" x14ac:dyDescent="0.3">
      <c r="A24" s="163" t="s">
        <v>345</v>
      </c>
      <c r="B24" s="133"/>
      <c r="C24" s="8"/>
      <c r="D24" s="8"/>
      <c r="E24" s="134"/>
      <c r="F24" s="133"/>
      <c r="G24" s="8"/>
      <c r="H24" s="8"/>
      <c r="I24" s="134"/>
      <c r="J24" s="133"/>
      <c r="K24" s="8"/>
      <c r="L24" s="8"/>
      <c r="M24" s="134"/>
      <c r="N24" s="133"/>
      <c r="O24" s="8"/>
      <c r="P24" s="8"/>
      <c r="Q24" s="134"/>
      <c r="R24" s="133"/>
      <c r="S24" s="8"/>
      <c r="T24" s="8"/>
      <c r="U24" s="134"/>
      <c r="V24" s="133"/>
      <c r="W24" s="8"/>
      <c r="X24" s="8"/>
      <c r="Y24" s="134"/>
      <c r="Z24" s="133"/>
      <c r="AA24" s="8"/>
      <c r="AB24" s="8"/>
      <c r="AC24" s="134"/>
    </row>
    <row r="25" spans="1:29" ht="29.4" thickBot="1" x14ac:dyDescent="0.35">
      <c r="A25" s="104" t="str">
        <f>"Annualized Efficient Cost is applied from 60% of Efficient Component Life until Measure Life expires."</f>
        <v>Annualized Efficient Cost is applied from 60% of Efficient Component Life until Measure Life expires.</v>
      </c>
      <c r="B25" s="135" t="s">
        <v>339</v>
      </c>
      <c r="C25" s="128" t="s">
        <v>339</v>
      </c>
      <c r="D25" s="128" t="s">
        <v>339</v>
      </c>
      <c r="E25" s="136" t="s">
        <v>339</v>
      </c>
      <c r="F25" s="135" t="s">
        <v>339</v>
      </c>
      <c r="G25" s="128" t="s">
        <v>339</v>
      </c>
      <c r="H25" s="128" t="s">
        <v>339</v>
      </c>
      <c r="I25" s="136" t="s">
        <v>339</v>
      </c>
      <c r="J25" s="135" t="s">
        <v>339</v>
      </c>
      <c r="K25" s="128" t="s">
        <v>339</v>
      </c>
      <c r="L25" s="129" t="s">
        <v>340</v>
      </c>
      <c r="M25" s="137" t="s">
        <v>340</v>
      </c>
      <c r="N25" s="138" t="s">
        <v>340</v>
      </c>
      <c r="O25" s="129" t="s">
        <v>340</v>
      </c>
      <c r="P25" s="129" t="s">
        <v>340</v>
      </c>
      <c r="Q25" s="137" t="s">
        <v>340</v>
      </c>
      <c r="R25" s="138" t="s">
        <v>340</v>
      </c>
      <c r="S25" s="129" t="s">
        <v>340</v>
      </c>
      <c r="T25" s="129" t="s">
        <v>340</v>
      </c>
      <c r="U25" s="137" t="s">
        <v>340</v>
      </c>
      <c r="V25" s="138" t="s">
        <v>340</v>
      </c>
      <c r="W25" s="128" t="s">
        <v>339</v>
      </c>
      <c r="X25" s="128" t="s">
        <v>339</v>
      </c>
      <c r="Y25" s="136" t="s">
        <v>339</v>
      </c>
      <c r="Z25" s="135" t="s">
        <v>339</v>
      </c>
      <c r="AA25" s="128" t="s">
        <v>339</v>
      </c>
      <c r="AB25" s="128" t="s">
        <v>339</v>
      </c>
      <c r="AC25" s="136" t="s">
        <v>339</v>
      </c>
    </row>
    <row r="26" spans="1:29" ht="58.8" customHeight="1" thickBot="1" x14ac:dyDescent="0.35">
      <c r="A26" s="104" t="s">
        <v>384</v>
      </c>
      <c r="B26" s="175">
        <v>0</v>
      </c>
      <c r="C26" s="176"/>
      <c r="D26" s="176"/>
      <c r="E26" s="177"/>
      <c r="F26" s="175">
        <v>0</v>
      </c>
      <c r="G26" s="176"/>
      <c r="H26" s="176"/>
      <c r="I26" s="177"/>
      <c r="J26" s="178" t="s">
        <v>351</v>
      </c>
      <c r="K26" s="179"/>
      <c r="L26" s="179"/>
      <c r="M26" s="180"/>
      <c r="N26" s="181">
        <v>3</v>
      </c>
      <c r="O26" s="182"/>
      <c r="P26" s="182"/>
      <c r="Q26" s="183"/>
      <c r="R26" s="181">
        <v>3</v>
      </c>
      <c r="S26" s="182"/>
      <c r="T26" s="182"/>
      <c r="U26" s="183"/>
      <c r="V26" s="178" t="s">
        <v>349</v>
      </c>
      <c r="W26" s="184"/>
      <c r="X26" s="184"/>
      <c r="Y26" s="185"/>
      <c r="Z26" s="175">
        <v>0</v>
      </c>
      <c r="AA26" s="176"/>
      <c r="AB26" s="176"/>
      <c r="AC26" s="177"/>
    </row>
    <row r="27" spans="1:29" x14ac:dyDescent="0.3">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spans="1:29" x14ac:dyDescent="0.3">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29" x14ac:dyDescent="0.3">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spans="1:29" s="127" customFormat="1" x14ac:dyDescent="0.3">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row>
    <row r="31" spans="1:29" ht="15" thickBot="1" x14ac:dyDescent="0.35">
      <c r="A31" s="59" t="s">
        <v>356</v>
      </c>
      <c r="B31" s="112" t="s">
        <v>352</v>
      </c>
      <c r="C31" s="59"/>
      <c r="D31" s="59"/>
    </row>
    <row r="32" spans="1:29" s="103" customFormat="1" ht="15" thickBot="1" x14ac:dyDescent="0.35">
      <c r="A32" s="164" t="s">
        <v>347</v>
      </c>
      <c r="B32" s="186">
        <v>0</v>
      </c>
      <c r="C32" s="187"/>
      <c r="D32" s="187"/>
      <c r="E32" s="188"/>
      <c r="F32" s="186">
        <v>1</v>
      </c>
      <c r="G32" s="187"/>
      <c r="H32" s="187"/>
      <c r="I32" s="188"/>
      <c r="J32" s="186">
        <v>2</v>
      </c>
      <c r="K32" s="187"/>
      <c r="L32" s="187"/>
      <c r="M32" s="188"/>
      <c r="N32" s="186">
        <v>3</v>
      </c>
      <c r="O32" s="187"/>
      <c r="P32" s="187"/>
      <c r="Q32" s="188"/>
      <c r="R32" s="186">
        <v>4</v>
      </c>
      <c r="S32" s="187"/>
      <c r="T32" s="187"/>
      <c r="U32" s="188"/>
      <c r="V32" s="189">
        <v>5</v>
      </c>
      <c r="W32" s="190"/>
      <c r="X32" s="190"/>
      <c r="Y32" s="191"/>
      <c r="Z32" s="189">
        <v>6</v>
      </c>
      <c r="AA32" s="190"/>
      <c r="AB32" s="190"/>
      <c r="AC32" s="191"/>
    </row>
    <row r="33" spans="1:29" s="103" customFormat="1" ht="15" thickBot="1" x14ac:dyDescent="0.35">
      <c r="A33" s="104"/>
      <c r="B33" s="105" t="s">
        <v>386</v>
      </c>
      <c r="C33" s="111"/>
      <c r="D33" s="111"/>
      <c r="E33" s="141"/>
      <c r="F33" s="140"/>
      <c r="G33" s="111"/>
      <c r="H33" s="111"/>
      <c r="I33" s="141"/>
      <c r="J33" s="140"/>
      <c r="K33" s="111"/>
      <c r="L33" s="111"/>
      <c r="M33" s="141"/>
      <c r="N33" s="140"/>
      <c r="O33" s="111"/>
      <c r="P33" s="111"/>
      <c r="Q33" s="141"/>
      <c r="R33" s="140"/>
      <c r="S33" s="111"/>
      <c r="T33" s="111"/>
      <c r="U33" s="141"/>
      <c r="V33" s="146"/>
      <c r="W33" s="116"/>
      <c r="X33" s="116"/>
      <c r="Y33" s="147"/>
      <c r="Z33" s="150"/>
      <c r="AA33" s="108"/>
      <c r="AB33" s="116"/>
      <c r="AC33" s="147"/>
    </row>
    <row r="34" spans="1:29" ht="15" thickBot="1" x14ac:dyDescent="0.35">
      <c r="B34" s="106" t="s">
        <v>357</v>
      </c>
      <c r="C34" s="107"/>
      <c r="D34" s="8"/>
      <c r="E34" s="134"/>
      <c r="F34" s="133"/>
      <c r="G34" s="8"/>
      <c r="H34" s="8"/>
      <c r="I34" s="134"/>
      <c r="J34" s="133"/>
      <c r="K34" s="8"/>
      <c r="L34" s="8"/>
      <c r="M34" s="134"/>
      <c r="N34" s="133"/>
      <c r="O34" s="8"/>
      <c r="P34" s="8"/>
      <c r="Q34" s="134"/>
      <c r="R34" s="133"/>
      <c r="S34" s="8"/>
      <c r="T34" s="8"/>
      <c r="U34" s="134"/>
      <c r="V34" s="133"/>
      <c r="W34" s="8"/>
      <c r="X34" s="116"/>
      <c r="Y34" s="149"/>
      <c r="Z34" s="133"/>
      <c r="AA34" s="8"/>
      <c r="AB34" s="116"/>
      <c r="AC34" s="149"/>
    </row>
    <row r="35" spans="1:29" ht="15" thickBot="1" x14ac:dyDescent="0.35">
      <c r="B35" s="157"/>
      <c r="C35" s="110" t="s">
        <v>396</v>
      </c>
      <c r="D35" s="115"/>
      <c r="E35" s="144"/>
      <c r="F35" s="145"/>
      <c r="G35" s="115"/>
      <c r="H35" s="115"/>
      <c r="I35" s="144"/>
      <c r="J35" s="145"/>
      <c r="K35" s="115"/>
      <c r="L35" s="115"/>
      <c r="M35" s="144"/>
      <c r="N35" s="145"/>
      <c r="O35" s="115"/>
      <c r="P35" s="115"/>
      <c r="Q35" s="144"/>
      <c r="R35" s="145"/>
      <c r="S35" s="115"/>
      <c r="T35" s="115"/>
      <c r="U35" s="144"/>
      <c r="V35" s="148"/>
      <c r="W35" s="116"/>
      <c r="X35" s="116"/>
      <c r="Y35" s="149"/>
      <c r="Z35" s="133"/>
      <c r="AA35" s="8"/>
      <c r="AB35" s="116"/>
      <c r="AC35" s="149"/>
    </row>
    <row r="36" spans="1:29" ht="15" thickBot="1" x14ac:dyDescent="0.35">
      <c r="B36" s="109" t="s">
        <v>395</v>
      </c>
      <c r="C36" s="114"/>
      <c r="D36" s="114"/>
      <c r="E36" s="143"/>
      <c r="F36" s="142"/>
      <c r="G36" s="114"/>
      <c r="H36" s="114"/>
      <c r="I36" s="143"/>
      <c r="J36" s="142"/>
      <c r="K36" s="114"/>
      <c r="L36" s="114"/>
      <c r="M36" s="143"/>
      <c r="N36" s="142"/>
      <c r="O36" s="117"/>
      <c r="P36" s="139"/>
      <c r="Q36" s="149"/>
      <c r="R36" s="157"/>
      <c r="S36" s="139"/>
      <c r="T36" s="139"/>
      <c r="U36" s="149"/>
      <c r="V36" s="157"/>
      <c r="W36" s="116"/>
      <c r="X36" s="116"/>
      <c r="Y36" s="149"/>
      <c r="Z36" s="133"/>
      <c r="AA36" s="8"/>
      <c r="AB36" s="116"/>
      <c r="AC36" s="149"/>
    </row>
    <row r="37" spans="1:29" ht="15" thickBot="1" x14ac:dyDescent="0.35">
      <c r="B37" s="157"/>
      <c r="C37" s="139"/>
      <c r="D37" s="139"/>
      <c r="E37" s="149"/>
      <c r="F37" s="157"/>
      <c r="G37" s="139"/>
      <c r="H37" s="139"/>
      <c r="I37" s="149"/>
      <c r="J37" s="157"/>
      <c r="K37" s="139"/>
      <c r="L37" s="152" t="s">
        <v>392</v>
      </c>
      <c r="M37" s="153"/>
      <c r="N37" s="154"/>
      <c r="O37" s="155"/>
      <c r="P37" s="155"/>
      <c r="Q37" s="153"/>
      <c r="R37" s="154"/>
      <c r="S37" s="155"/>
      <c r="T37" s="155"/>
      <c r="U37" s="153"/>
      <c r="V37" s="156"/>
      <c r="W37" s="116"/>
      <c r="X37" s="116"/>
      <c r="Y37" s="149"/>
      <c r="Z37" s="133"/>
      <c r="AA37" s="8"/>
      <c r="AB37" s="116"/>
      <c r="AC37" s="149"/>
    </row>
    <row r="38" spans="1:29" x14ac:dyDescent="0.3">
      <c r="A38" s="113" t="s">
        <v>344</v>
      </c>
      <c r="B38" s="133"/>
      <c r="C38" s="8"/>
      <c r="D38" s="8"/>
      <c r="E38" s="134"/>
      <c r="F38" s="133"/>
      <c r="G38" s="8"/>
      <c r="H38" s="8"/>
      <c r="I38" s="134"/>
      <c r="J38" s="133"/>
      <c r="K38" s="8"/>
      <c r="L38" s="8"/>
      <c r="M38" s="134"/>
      <c r="N38" s="133"/>
      <c r="O38" s="8"/>
      <c r="P38" s="8"/>
      <c r="Q38" s="134"/>
      <c r="R38" s="133"/>
      <c r="S38" s="8"/>
      <c r="T38" s="8"/>
      <c r="U38" s="134"/>
      <c r="V38" s="133"/>
      <c r="W38" s="8"/>
      <c r="X38" s="8"/>
      <c r="Y38" s="134"/>
      <c r="Z38" s="133"/>
      <c r="AA38" s="8"/>
      <c r="AB38" s="8"/>
      <c r="AC38" s="134"/>
    </row>
    <row r="39" spans="1:29" ht="29.4" thickBot="1" x14ac:dyDescent="0.35">
      <c r="A39" s="104" t="str">
        <f>"Annualized Baseline Cost is applied from 60% of Remaining Useful Life until Measure Life expires."</f>
        <v>Annualized Baseline Cost is applied from 60% of Remaining Useful Life until Measure Life expires.</v>
      </c>
      <c r="B39" s="135" t="s">
        <v>339</v>
      </c>
      <c r="C39" s="129" t="s">
        <v>340</v>
      </c>
      <c r="D39" s="129" t="s">
        <v>340</v>
      </c>
      <c r="E39" s="137" t="s">
        <v>340</v>
      </c>
      <c r="F39" s="138" t="s">
        <v>340</v>
      </c>
      <c r="G39" s="129" t="s">
        <v>340</v>
      </c>
      <c r="H39" s="129" t="s">
        <v>340</v>
      </c>
      <c r="I39" s="137" t="s">
        <v>340</v>
      </c>
      <c r="J39" s="138" t="s">
        <v>340</v>
      </c>
      <c r="K39" s="129" t="s">
        <v>340</v>
      </c>
      <c r="L39" s="129" t="s">
        <v>340</v>
      </c>
      <c r="M39" s="137" t="s">
        <v>340</v>
      </c>
      <c r="N39" s="138" t="s">
        <v>340</v>
      </c>
      <c r="O39" s="129" t="s">
        <v>340</v>
      </c>
      <c r="P39" s="129" t="s">
        <v>340</v>
      </c>
      <c r="Q39" s="137" t="s">
        <v>340</v>
      </c>
      <c r="R39" s="138" t="s">
        <v>340</v>
      </c>
      <c r="S39" s="129" t="s">
        <v>340</v>
      </c>
      <c r="T39" s="129" t="s">
        <v>340</v>
      </c>
      <c r="U39" s="137" t="s">
        <v>340</v>
      </c>
      <c r="V39" s="138" t="s">
        <v>340</v>
      </c>
      <c r="W39" s="128" t="s">
        <v>339</v>
      </c>
      <c r="X39" s="128" t="s">
        <v>339</v>
      </c>
      <c r="Y39" s="136" t="s">
        <v>339</v>
      </c>
      <c r="Z39" s="135" t="s">
        <v>339</v>
      </c>
      <c r="AA39" s="128" t="s">
        <v>339</v>
      </c>
      <c r="AB39" s="128" t="s">
        <v>339</v>
      </c>
      <c r="AC39" s="136" t="s">
        <v>339</v>
      </c>
    </row>
    <row r="40" spans="1:29" ht="58.2" customHeight="1" thickBot="1" x14ac:dyDescent="0.35">
      <c r="A40" s="104" t="s">
        <v>355</v>
      </c>
      <c r="B40" s="178" t="s">
        <v>397</v>
      </c>
      <c r="C40" s="179"/>
      <c r="D40" s="179"/>
      <c r="E40" s="180"/>
      <c r="F40" s="181">
        <v>2</v>
      </c>
      <c r="G40" s="182"/>
      <c r="H40" s="182"/>
      <c r="I40" s="183"/>
      <c r="J40" s="181">
        <v>2</v>
      </c>
      <c r="K40" s="182"/>
      <c r="L40" s="182"/>
      <c r="M40" s="183"/>
      <c r="N40" s="181">
        <v>2</v>
      </c>
      <c r="O40" s="182"/>
      <c r="P40" s="182"/>
      <c r="Q40" s="183"/>
      <c r="R40" s="181">
        <v>2</v>
      </c>
      <c r="S40" s="182"/>
      <c r="T40" s="182"/>
      <c r="U40" s="183"/>
      <c r="V40" s="178" t="s">
        <v>350</v>
      </c>
      <c r="W40" s="179"/>
      <c r="X40" s="179"/>
      <c r="Y40" s="180"/>
      <c r="Z40" s="175">
        <v>0</v>
      </c>
      <c r="AA40" s="176"/>
      <c r="AB40" s="176"/>
      <c r="AC40" s="177"/>
    </row>
    <row r="41" spans="1:29" x14ac:dyDescent="0.3">
      <c r="A41" s="104"/>
      <c r="B41" s="130"/>
      <c r="C41" s="131"/>
      <c r="D41" s="131"/>
      <c r="E41" s="132"/>
      <c r="F41" s="130"/>
      <c r="G41" s="131"/>
      <c r="H41" s="131"/>
      <c r="I41" s="132"/>
      <c r="J41" s="130"/>
      <c r="K41" s="131"/>
      <c r="L41" s="131"/>
      <c r="M41" s="132"/>
      <c r="N41" s="130"/>
      <c r="O41" s="131"/>
      <c r="P41" s="131"/>
      <c r="Q41" s="132"/>
      <c r="R41" s="130"/>
      <c r="S41" s="131"/>
      <c r="T41" s="131"/>
      <c r="U41" s="132"/>
      <c r="V41" s="130"/>
      <c r="W41" s="131"/>
      <c r="X41" s="131"/>
      <c r="Y41" s="132"/>
      <c r="Z41" s="130"/>
      <c r="AA41" s="131"/>
      <c r="AB41" s="131"/>
      <c r="AC41" s="132"/>
    </row>
    <row r="42" spans="1:29" x14ac:dyDescent="0.3">
      <c r="A42" s="163" t="s">
        <v>345</v>
      </c>
      <c r="B42" s="133"/>
      <c r="C42" s="8"/>
      <c r="D42" s="8"/>
      <c r="E42" s="134"/>
      <c r="F42" s="133"/>
      <c r="G42" s="8"/>
      <c r="H42" s="8"/>
      <c r="I42" s="134"/>
      <c r="J42" s="133"/>
      <c r="K42" s="8"/>
      <c r="L42" s="8"/>
      <c r="M42" s="134"/>
      <c r="N42" s="133"/>
      <c r="O42" s="8"/>
      <c r="P42" s="8"/>
      <c r="Q42" s="134"/>
      <c r="R42" s="133"/>
      <c r="S42" s="8"/>
      <c r="T42" s="8"/>
      <c r="U42" s="134"/>
      <c r="V42" s="133"/>
      <c r="W42" s="8"/>
      <c r="X42" s="8"/>
      <c r="Y42" s="134"/>
      <c r="Z42" s="133"/>
      <c r="AA42" s="8"/>
      <c r="AB42" s="8"/>
      <c r="AC42" s="134"/>
    </row>
    <row r="43" spans="1:29" ht="29.4" thickBot="1" x14ac:dyDescent="0.35">
      <c r="A43" s="104" t="str">
        <f>"Annualized Efficient Cost is applied from 60% of Efficient Component Life until Measure Life expires."</f>
        <v>Annualized Efficient Cost is applied from 60% of Efficient Component Life until Measure Life expires.</v>
      </c>
      <c r="B43" s="135" t="s">
        <v>339</v>
      </c>
      <c r="C43" s="128" t="s">
        <v>339</v>
      </c>
      <c r="D43" s="128" t="s">
        <v>339</v>
      </c>
      <c r="E43" s="136" t="s">
        <v>339</v>
      </c>
      <c r="F43" s="135" t="s">
        <v>339</v>
      </c>
      <c r="G43" s="128" t="s">
        <v>339</v>
      </c>
      <c r="H43" s="128" t="s">
        <v>339</v>
      </c>
      <c r="I43" s="136" t="s">
        <v>339</v>
      </c>
      <c r="J43" s="135" t="s">
        <v>339</v>
      </c>
      <c r="K43" s="128" t="s">
        <v>339</v>
      </c>
      <c r="L43" s="129" t="s">
        <v>340</v>
      </c>
      <c r="M43" s="137" t="s">
        <v>340</v>
      </c>
      <c r="N43" s="138" t="s">
        <v>340</v>
      </c>
      <c r="O43" s="129" t="s">
        <v>340</v>
      </c>
      <c r="P43" s="129" t="s">
        <v>340</v>
      </c>
      <c r="Q43" s="137" t="s">
        <v>340</v>
      </c>
      <c r="R43" s="138" t="s">
        <v>340</v>
      </c>
      <c r="S43" s="129" t="s">
        <v>340</v>
      </c>
      <c r="T43" s="129" t="s">
        <v>340</v>
      </c>
      <c r="U43" s="137" t="s">
        <v>340</v>
      </c>
      <c r="V43" s="138" t="s">
        <v>340</v>
      </c>
      <c r="W43" s="128" t="s">
        <v>339</v>
      </c>
      <c r="X43" s="128" t="s">
        <v>339</v>
      </c>
      <c r="Y43" s="136" t="s">
        <v>339</v>
      </c>
      <c r="Z43" s="135" t="s">
        <v>339</v>
      </c>
      <c r="AA43" s="128" t="s">
        <v>339</v>
      </c>
      <c r="AB43" s="128" t="s">
        <v>339</v>
      </c>
      <c r="AC43" s="136" t="s">
        <v>339</v>
      </c>
    </row>
    <row r="44" spans="1:29" ht="58.8" customHeight="1" thickBot="1" x14ac:dyDescent="0.35">
      <c r="A44" s="104" t="s">
        <v>354</v>
      </c>
      <c r="B44" s="175">
        <v>0</v>
      </c>
      <c r="C44" s="176"/>
      <c r="D44" s="176"/>
      <c r="E44" s="177"/>
      <c r="F44" s="175">
        <v>0</v>
      </c>
      <c r="G44" s="176"/>
      <c r="H44" s="176"/>
      <c r="I44" s="177"/>
      <c r="J44" s="178" t="s">
        <v>351</v>
      </c>
      <c r="K44" s="179"/>
      <c r="L44" s="179"/>
      <c r="M44" s="180"/>
      <c r="N44" s="181">
        <v>3</v>
      </c>
      <c r="O44" s="182"/>
      <c r="P44" s="182"/>
      <c r="Q44" s="183"/>
      <c r="R44" s="181">
        <v>3</v>
      </c>
      <c r="S44" s="182"/>
      <c r="T44" s="182"/>
      <c r="U44" s="183"/>
      <c r="V44" s="178" t="s">
        <v>349</v>
      </c>
      <c r="W44" s="184"/>
      <c r="X44" s="184"/>
      <c r="Y44" s="185"/>
      <c r="Z44" s="175">
        <v>0</v>
      </c>
      <c r="AA44" s="176"/>
      <c r="AB44" s="176"/>
      <c r="AC44" s="177"/>
    </row>
  </sheetData>
  <mergeCells count="42">
    <mergeCell ref="Z22:AC22"/>
    <mergeCell ref="B26:E26"/>
    <mergeCell ref="F26:I26"/>
    <mergeCell ref="J26:M26"/>
    <mergeCell ref="N26:Q26"/>
    <mergeCell ref="R26:U26"/>
    <mergeCell ref="V26:Y26"/>
    <mergeCell ref="Z26:AC26"/>
    <mergeCell ref="B22:E22"/>
    <mergeCell ref="F22:I22"/>
    <mergeCell ref="J22:M22"/>
    <mergeCell ref="N22:Q22"/>
    <mergeCell ref="R22:U22"/>
    <mergeCell ref="V22:Y22"/>
    <mergeCell ref="Z14:AC14"/>
    <mergeCell ref="V14:Y14"/>
    <mergeCell ref="R14:U14"/>
    <mergeCell ref="N14:Q14"/>
    <mergeCell ref="J14:M14"/>
    <mergeCell ref="F14:I14"/>
    <mergeCell ref="B14:E14"/>
    <mergeCell ref="B32:E32"/>
    <mergeCell ref="F32:I32"/>
    <mergeCell ref="J32:M32"/>
    <mergeCell ref="R32:U32"/>
    <mergeCell ref="V32:Y32"/>
    <mergeCell ref="Z32:AC32"/>
    <mergeCell ref="B40:E40"/>
    <mergeCell ref="F40:I40"/>
    <mergeCell ref="J40:M40"/>
    <mergeCell ref="N40:Q40"/>
    <mergeCell ref="R40:U40"/>
    <mergeCell ref="V40:Y40"/>
    <mergeCell ref="Z40:AC40"/>
    <mergeCell ref="N32:Q32"/>
    <mergeCell ref="Z44:AC44"/>
    <mergeCell ref="B44:E44"/>
    <mergeCell ref="F44:I44"/>
    <mergeCell ref="J44:M44"/>
    <mergeCell ref="N44:Q44"/>
    <mergeCell ref="R44:U44"/>
    <mergeCell ref="V44:Y4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1" workbookViewId="0">
      <selection activeCell="B43" sqref="B43"/>
    </sheetView>
  </sheetViews>
  <sheetFormatPr defaultRowHeight="14.4" x14ac:dyDescent="0.3"/>
  <cols>
    <col min="2" max="2" width="112.6640625" customWidth="1"/>
  </cols>
  <sheetData>
    <row r="1" spans="1:3" x14ac:dyDescent="0.3">
      <c r="B1" s="59" t="s">
        <v>227</v>
      </c>
    </row>
    <row r="2" spans="1:3" x14ac:dyDescent="0.3">
      <c r="B2" s="59" t="s">
        <v>228</v>
      </c>
    </row>
    <row r="4" spans="1:3" x14ac:dyDescent="0.3">
      <c r="A4" s="55" t="s">
        <v>229</v>
      </c>
      <c r="B4" s="55" t="s">
        <v>105</v>
      </c>
      <c r="C4" s="55"/>
    </row>
    <row r="5" spans="1:3" x14ac:dyDescent="0.3">
      <c r="A5" s="55"/>
      <c r="B5" s="55" t="s">
        <v>231</v>
      </c>
      <c r="C5" s="55"/>
    </row>
    <row r="6" spans="1:3" x14ac:dyDescent="0.3">
      <c r="A6" s="55"/>
      <c r="B6" s="55" t="s">
        <v>243</v>
      </c>
      <c r="C6" s="55"/>
    </row>
    <row r="7" spans="1:3" x14ac:dyDescent="0.3">
      <c r="A7" s="55"/>
      <c r="B7" s="55" t="s">
        <v>244</v>
      </c>
      <c r="C7" s="55"/>
    </row>
    <row r="8" spans="1:3" s="60" customFormat="1" ht="12" x14ac:dyDescent="0.25">
      <c r="B8" s="61" t="s">
        <v>401</v>
      </c>
      <c r="C8" s="62" t="s">
        <v>223</v>
      </c>
    </row>
    <row r="9" spans="1:3" s="60" customFormat="1" ht="12" x14ac:dyDescent="0.25">
      <c r="B9" s="60" t="s">
        <v>402</v>
      </c>
      <c r="C9" s="62" t="s">
        <v>218</v>
      </c>
    </row>
    <row r="10" spans="1:3" s="60" customFormat="1" ht="12" x14ac:dyDescent="0.25">
      <c r="B10" s="60" t="s">
        <v>403</v>
      </c>
      <c r="C10" s="62" t="s">
        <v>219</v>
      </c>
    </row>
    <row r="11" spans="1:3" s="60" customFormat="1" ht="12" x14ac:dyDescent="0.25">
      <c r="B11" s="60" t="s">
        <v>404</v>
      </c>
      <c r="C11" s="62" t="s">
        <v>220</v>
      </c>
    </row>
    <row r="12" spans="1:3" s="60" customFormat="1" ht="12" x14ac:dyDescent="0.25">
      <c r="B12" s="60" t="s">
        <v>405</v>
      </c>
      <c r="C12" s="62" t="s">
        <v>221</v>
      </c>
    </row>
    <row r="13" spans="1:3" s="60" customFormat="1" ht="12" x14ac:dyDescent="0.25">
      <c r="B13" s="60" t="s">
        <v>406</v>
      </c>
      <c r="C13" s="62" t="s">
        <v>222</v>
      </c>
    </row>
    <row r="14" spans="1:3" s="60" customFormat="1" ht="12" x14ac:dyDescent="0.25">
      <c r="C14" s="62" t="s">
        <v>338</v>
      </c>
    </row>
    <row r="16" spans="1:3" x14ac:dyDescent="0.3">
      <c r="A16" s="55" t="s">
        <v>217</v>
      </c>
      <c r="B16" s="55" t="s">
        <v>106</v>
      </c>
      <c r="C16" s="55"/>
    </row>
    <row r="17" spans="1:3" x14ac:dyDescent="0.3">
      <c r="A17" s="55"/>
      <c r="B17" s="55" t="s">
        <v>230</v>
      </c>
      <c r="C17" s="55"/>
    </row>
    <row r="18" spans="1:3" x14ac:dyDescent="0.3">
      <c r="A18" s="55"/>
      <c r="B18" s="55" t="s">
        <v>241</v>
      </c>
      <c r="C18" s="55"/>
    </row>
    <row r="19" spans="1:3" x14ac:dyDescent="0.3">
      <c r="A19" s="55"/>
      <c r="B19" s="55" t="s">
        <v>242</v>
      </c>
      <c r="C19" s="55"/>
    </row>
    <row r="20" spans="1:3" s="60" customFormat="1" ht="12" x14ac:dyDescent="0.25">
      <c r="B20" s="60" t="s">
        <v>407</v>
      </c>
      <c r="C20" s="62" t="s">
        <v>224</v>
      </c>
    </row>
    <row r="21" spans="1:3" s="60" customFormat="1" ht="12" x14ac:dyDescent="0.25">
      <c r="B21" s="60" t="s">
        <v>408</v>
      </c>
      <c r="C21" s="62" t="s">
        <v>218</v>
      </c>
    </row>
    <row r="22" spans="1:3" s="60" customFormat="1" ht="12" x14ac:dyDescent="0.25">
      <c r="B22" s="60" t="s">
        <v>409</v>
      </c>
      <c r="C22" s="62" t="s">
        <v>225</v>
      </c>
    </row>
    <row r="23" spans="1:3" s="60" customFormat="1" ht="12" x14ac:dyDescent="0.25">
      <c r="B23" s="60" t="s">
        <v>410</v>
      </c>
      <c r="C23" s="62" t="s">
        <v>36</v>
      </c>
    </row>
    <row r="24" spans="1:3" s="60" customFormat="1" ht="12" x14ac:dyDescent="0.25">
      <c r="B24" s="60" t="s">
        <v>411</v>
      </c>
      <c r="C24" s="62" t="s">
        <v>221</v>
      </c>
    </row>
    <row r="25" spans="1:3" s="60" customFormat="1" ht="12" x14ac:dyDescent="0.25">
      <c r="B25" s="60" t="s">
        <v>412</v>
      </c>
      <c r="C25" s="62" t="s">
        <v>226</v>
      </c>
    </row>
    <row r="26" spans="1:3" x14ac:dyDescent="0.3">
      <c r="C26" s="8"/>
    </row>
    <row r="27" spans="1:3" x14ac:dyDescent="0.3">
      <c r="A27" s="55" t="s">
        <v>217</v>
      </c>
      <c r="B27" s="55" t="s">
        <v>117</v>
      </c>
      <c r="C27" s="55"/>
    </row>
    <row r="28" spans="1:3" x14ac:dyDescent="0.3">
      <c r="A28" s="55"/>
      <c r="B28" s="55" t="s">
        <v>232</v>
      </c>
      <c r="C28" s="55"/>
    </row>
    <row r="29" spans="1:3" x14ac:dyDescent="0.3">
      <c r="A29" s="55"/>
      <c r="B29" s="55" t="s">
        <v>239</v>
      </c>
      <c r="C29" s="55"/>
    </row>
    <row r="30" spans="1:3" x14ac:dyDescent="0.3">
      <c r="A30" s="55"/>
      <c r="B30" s="55" t="s">
        <v>240</v>
      </c>
      <c r="C30" s="55"/>
    </row>
    <row r="31" spans="1:3" s="60" customFormat="1" ht="12" x14ac:dyDescent="0.25">
      <c r="B31" s="60" t="s">
        <v>413</v>
      </c>
      <c r="C31" s="62" t="s">
        <v>223</v>
      </c>
    </row>
    <row r="32" spans="1:3" s="60" customFormat="1" ht="12" x14ac:dyDescent="0.25">
      <c r="B32" s="60" t="s">
        <v>414</v>
      </c>
      <c r="C32" s="62" t="s">
        <v>218</v>
      </c>
    </row>
    <row r="33" spans="1:3" s="60" customFormat="1" ht="12" x14ac:dyDescent="0.25">
      <c r="B33" s="60" t="s">
        <v>415</v>
      </c>
      <c r="C33" s="62" t="s">
        <v>219</v>
      </c>
    </row>
    <row r="34" spans="1:3" s="60" customFormat="1" ht="12" x14ac:dyDescent="0.25">
      <c r="B34" s="60" t="s">
        <v>416</v>
      </c>
      <c r="C34" s="62" t="s">
        <v>220</v>
      </c>
    </row>
    <row r="35" spans="1:3" s="60" customFormat="1" ht="12" x14ac:dyDescent="0.25">
      <c r="B35" s="60" t="s">
        <v>417</v>
      </c>
      <c r="C35" s="62" t="s">
        <v>221</v>
      </c>
    </row>
    <row r="36" spans="1:3" s="60" customFormat="1" ht="12" x14ac:dyDescent="0.25">
      <c r="B36" s="60" t="s">
        <v>418</v>
      </c>
      <c r="C36" s="62" t="s">
        <v>222</v>
      </c>
    </row>
    <row r="37" spans="1:3" s="60" customFormat="1" ht="12" x14ac:dyDescent="0.25">
      <c r="C37" s="62" t="s">
        <v>338</v>
      </c>
    </row>
    <row r="39" spans="1:3" x14ac:dyDescent="0.3">
      <c r="A39" s="55" t="s">
        <v>217</v>
      </c>
      <c r="B39" s="55" t="s">
        <v>118</v>
      </c>
      <c r="C39" s="55"/>
    </row>
    <row r="40" spans="1:3" x14ac:dyDescent="0.3">
      <c r="A40" s="55"/>
      <c r="B40" s="55" t="s">
        <v>238</v>
      </c>
      <c r="C40" s="55"/>
    </row>
    <row r="41" spans="1:3" x14ac:dyDescent="0.3">
      <c r="A41" s="55"/>
      <c r="B41" s="55" t="s">
        <v>236</v>
      </c>
      <c r="C41" s="55"/>
    </row>
    <row r="42" spans="1:3" x14ac:dyDescent="0.3">
      <c r="A42" s="55"/>
      <c r="B42" s="55" t="s">
        <v>237</v>
      </c>
      <c r="C42" s="55"/>
    </row>
    <row r="43" spans="1:3" s="60" customFormat="1" ht="12" x14ac:dyDescent="0.25">
      <c r="B43" s="60" t="s">
        <v>419</v>
      </c>
      <c r="C43" s="62" t="s">
        <v>224</v>
      </c>
    </row>
    <row r="44" spans="1:3" s="60" customFormat="1" ht="12" x14ac:dyDescent="0.25">
      <c r="B44" s="60" t="s">
        <v>420</v>
      </c>
      <c r="C44" s="62" t="s">
        <v>218</v>
      </c>
    </row>
    <row r="45" spans="1:3" s="60" customFormat="1" ht="12" x14ac:dyDescent="0.25">
      <c r="B45" s="60" t="s">
        <v>421</v>
      </c>
      <c r="C45" s="62" t="s">
        <v>233</v>
      </c>
    </row>
    <row r="46" spans="1:3" s="60" customFormat="1" ht="12" x14ac:dyDescent="0.25">
      <c r="B46" s="60" t="s">
        <v>422</v>
      </c>
      <c r="C46" s="62" t="s">
        <v>234</v>
      </c>
    </row>
    <row r="47" spans="1:3" s="60" customFormat="1" ht="12" x14ac:dyDescent="0.25">
      <c r="B47" s="60" t="s">
        <v>423</v>
      </c>
      <c r="C47" s="62" t="s">
        <v>221</v>
      </c>
    </row>
    <row r="48" spans="1:3" s="60" customFormat="1" ht="12" x14ac:dyDescent="0.25">
      <c r="B48" s="60" t="s">
        <v>424</v>
      </c>
      <c r="C48" s="62" t="s">
        <v>235</v>
      </c>
    </row>
    <row r="50" spans="1:3" x14ac:dyDescent="0.3">
      <c r="A50" s="55" t="s">
        <v>217</v>
      </c>
      <c r="B50" s="55" t="s">
        <v>120</v>
      </c>
      <c r="C50" s="55"/>
    </row>
    <row r="51" spans="1:3" x14ac:dyDescent="0.3">
      <c r="B51" s="60" t="s">
        <v>327</v>
      </c>
      <c r="C51" s="62" t="s">
        <v>337</v>
      </c>
    </row>
    <row r="52" spans="1:3" x14ac:dyDescent="0.3">
      <c r="B52" s="60" t="s">
        <v>330</v>
      </c>
      <c r="C52" s="62" t="s">
        <v>332</v>
      </c>
    </row>
    <row r="53" spans="1:3" x14ac:dyDescent="0.3">
      <c r="B53" s="60" t="s">
        <v>331</v>
      </c>
      <c r="C53" s="62" t="s">
        <v>333</v>
      </c>
    </row>
    <row r="54" spans="1:3" x14ac:dyDescent="0.3">
      <c r="B54" s="60" t="s">
        <v>328</v>
      </c>
      <c r="C54" s="62" t="s">
        <v>329</v>
      </c>
    </row>
    <row r="56" spans="1:3" x14ac:dyDescent="0.3">
      <c r="A56" s="55" t="s">
        <v>217</v>
      </c>
      <c r="B56" s="55" t="s">
        <v>126</v>
      </c>
      <c r="C56" s="55"/>
    </row>
    <row r="57" spans="1:3" x14ac:dyDescent="0.3">
      <c r="B57" s="60" t="s">
        <v>327</v>
      </c>
      <c r="C57" s="62" t="s">
        <v>337</v>
      </c>
    </row>
    <row r="58" spans="1:3" x14ac:dyDescent="0.3">
      <c r="B58" s="60" t="s">
        <v>334</v>
      </c>
      <c r="C58" s="62" t="s">
        <v>332</v>
      </c>
    </row>
    <row r="59" spans="1:3" x14ac:dyDescent="0.3">
      <c r="B59" s="60" t="s">
        <v>335</v>
      </c>
      <c r="C59" s="62" t="s">
        <v>333</v>
      </c>
    </row>
    <row r="60" spans="1:3" x14ac:dyDescent="0.3">
      <c r="B60" s="60" t="s">
        <v>336</v>
      </c>
      <c r="C60" s="62" t="s">
        <v>329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5"/>
  <sheetViews>
    <sheetView workbookViewId="0">
      <selection activeCell="F13" sqref="F13"/>
    </sheetView>
  </sheetViews>
  <sheetFormatPr defaultRowHeight="14.4" x14ac:dyDescent="0.3"/>
  <cols>
    <col min="3" max="3" width="38.33203125" customWidth="1"/>
    <col min="4" max="4" width="12.5546875" customWidth="1"/>
    <col min="5" max="5" width="10.88671875" customWidth="1"/>
    <col min="6" max="6" width="12.6640625" customWidth="1"/>
  </cols>
  <sheetData>
    <row r="4" spans="2:15" ht="40.200000000000003" x14ac:dyDescent="0.3">
      <c r="B4" s="24" t="s">
        <v>39</v>
      </c>
      <c r="C4" s="24" t="s">
        <v>40</v>
      </c>
      <c r="D4" s="24" t="s">
        <v>41</v>
      </c>
      <c r="E4" s="24" t="s">
        <v>42</v>
      </c>
      <c r="F4" s="24" t="s">
        <v>43</v>
      </c>
      <c r="I4" s="27" t="s">
        <v>75</v>
      </c>
      <c r="J4" s="27"/>
      <c r="K4" s="27"/>
      <c r="L4" s="27"/>
      <c r="M4" s="27"/>
      <c r="N4" s="27"/>
      <c r="O4" s="27"/>
    </row>
    <row r="5" spans="2:15" x14ac:dyDescent="0.3">
      <c r="B5" s="4" t="s">
        <v>44</v>
      </c>
      <c r="C5" s="4" t="s">
        <v>45</v>
      </c>
      <c r="D5" s="4" t="s">
        <v>46</v>
      </c>
      <c r="E5" s="25">
        <v>19.760000000000002</v>
      </c>
      <c r="F5" s="26">
        <v>5773552</v>
      </c>
      <c r="I5" s="35" t="s">
        <v>39</v>
      </c>
      <c r="J5" s="35" t="s">
        <v>76</v>
      </c>
      <c r="K5" s="35" t="s">
        <v>77</v>
      </c>
      <c r="L5" s="35" t="s">
        <v>78</v>
      </c>
      <c r="M5" s="35" t="s">
        <v>79</v>
      </c>
      <c r="N5" s="35" t="s">
        <v>80</v>
      </c>
      <c r="O5" s="40" t="s">
        <v>81</v>
      </c>
    </row>
    <row r="6" spans="2:15" x14ac:dyDescent="0.3">
      <c r="B6" s="4" t="s">
        <v>47</v>
      </c>
      <c r="C6" s="4" t="s">
        <v>45</v>
      </c>
      <c r="D6" s="4" t="s">
        <v>46</v>
      </c>
      <c r="E6" s="25">
        <v>22.92</v>
      </c>
      <c r="F6" s="26">
        <v>601723</v>
      </c>
      <c r="I6" s="4" t="s">
        <v>44</v>
      </c>
      <c r="J6" s="41">
        <v>206</v>
      </c>
      <c r="K6" s="4" t="s">
        <v>82</v>
      </c>
      <c r="L6" s="4">
        <v>96.7</v>
      </c>
      <c r="M6" s="4">
        <v>84.2</v>
      </c>
      <c r="N6" s="4">
        <v>91.2</v>
      </c>
      <c r="O6" s="42">
        <v>67752</v>
      </c>
    </row>
    <row r="7" spans="2:15" ht="15" thickBot="1" x14ac:dyDescent="0.35">
      <c r="B7" s="4" t="s">
        <v>48</v>
      </c>
      <c r="C7" s="4" t="s">
        <v>45</v>
      </c>
      <c r="D7" s="4" t="s">
        <v>46</v>
      </c>
      <c r="E7" s="25">
        <v>18.89</v>
      </c>
      <c r="F7" s="26">
        <v>897934</v>
      </c>
      <c r="I7" s="4" t="s">
        <v>44</v>
      </c>
      <c r="J7" s="41" t="s">
        <v>83</v>
      </c>
      <c r="K7" s="4" t="s">
        <v>84</v>
      </c>
      <c r="L7" s="4">
        <v>96.8</v>
      </c>
      <c r="M7" s="4">
        <v>86</v>
      </c>
      <c r="N7" s="4">
        <v>92</v>
      </c>
      <c r="O7" s="42">
        <v>30413</v>
      </c>
    </row>
    <row r="8" spans="2:15" ht="15" thickBot="1" x14ac:dyDescent="0.35">
      <c r="C8" s="27"/>
      <c r="D8" s="28" t="s">
        <v>49</v>
      </c>
      <c r="E8" s="29">
        <f>SUMPRODUCT(E5:E7,F5:F7)/SUM(F5:F7)</f>
        <v>19.914023086645798</v>
      </c>
      <c r="F8" s="30" t="s">
        <v>50</v>
      </c>
      <c r="I8" s="4" t="s">
        <v>44</v>
      </c>
      <c r="J8" s="41">
        <v>209</v>
      </c>
      <c r="K8" s="4" t="s">
        <v>85</v>
      </c>
      <c r="L8" s="4">
        <v>96</v>
      </c>
      <c r="M8" s="4">
        <v>85.6</v>
      </c>
      <c r="N8" s="4">
        <v>91.4</v>
      </c>
      <c r="O8" s="42">
        <v>71452</v>
      </c>
    </row>
    <row r="9" spans="2:15" x14ac:dyDescent="0.3">
      <c r="I9" s="4" t="s">
        <v>44</v>
      </c>
      <c r="J9" s="41" t="s">
        <v>86</v>
      </c>
      <c r="K9" s="4" t="s">
        <v>87</v>
      </c>
      <c r="L9" s="4">
        <v>100.7</v>
      </c>
      <c r="M9" s="4">
        <v>85.5</v>
      </c>
      <c r="N9" s="4">
        <v>94</v>
      </c>
      <c r="O9" s="42">
        <v>620961</v>
      </c>
    </row>
    <row r="10" spans="2:15" x14ac:dyDescent="0.3">
      <c r="I10" s="4" t="s">
        <v>44</v>
      </c>
      <c r="J10" s="41">
        <v>214</v>
      </c>
      <c r="K10" s="4" t="s">
        <v>88</v>
      </c>
      <c r="L10" s="4">
        <v>99.2</v>
      </c>
      <c r="M10" s="4">
        <v>85.6</v>
      </c>
      <c r="N10" s="4">
        <v>93.2</v>
      </c>
      <c r="O10" s="42">
        <v>38394</v>
      </c>
    </row>
    <row r="11" spans="2:15" ht="40.200000000000003" x14ac:dyDescent="0.3">
      <c r="C11" s="35"/>
      <c r="D11" s="36" t="s">
        <v>67</v>
      </c>
      <c r="E11" s="36" t="s">
        <v>68</v>
      </c>
      <c r="F11" s="24" t="s">
        <v>69</v>
      </c>
      <c r="G11" s="24"/>
      <c r="H11" s="27"/>
      <c r="I11" s="4" t="s">
        <v>44</v>
      </c>
      <c r="J11" s="41">
        <v>215</v>
      </c>
      <c r="K11" s="4" t="s">
        <v>89</v>
      </c>
      <c r="L11" s="4">
        <v>96.3</v>
      </c>
      <c r="M11" s="4">
        <v>86.6</v>
      </c>
      <c r="N11" s="4">
        <v>92</v>
      </c>
      <c r="O11" s="42">
        <v>20859</v>
      </c>
    </row>
    <row r="12" spans="2:15" x14ac:dyDescent="0.3">
      <c r="C12" s="35" t="s">
        <v>70</v>
      </c>
      <c r="D12" s="35" t="s">
        <v>71</v>
      </c>
      <c r="E12" s="35" t="s">
        <v>71</v>
      </c>
      <c r="F12" s="27" t="s">
        <v>71</v>
      </c>
      <c r="G12" s="27"/>
      <c r="H12" s="27"/>
      <c r="I12" s="4" t="s">
        <v>44</v>
      </c>
      <c r="J12" s="41">
        <v>216</v>
      </c>
      <c r="K12" s="4" t="s">
        <v>90</v>
      </c>
      <c r="L12" s="4">
        <v>98</v>
      </c>
      <c r="M12" s="4">
        <v>74.2</v>
      </c>
      <c r="N12" s="4">
        <v>87.5</v>
      </c>
      <c r="O12" s="42">
        <v>15945</v>
      </c>
    </row>
    <row r="13" spans="2:15" x14ac:dyDescent="0.3">
      <c r="C13" s="4" t="s">
        <v>72</v>
      </c>
      <c r="D13" s="4">
        <v>39.15</v>
      </c>
      <c r="E13" s="4">
        <v>60</v>
      </c>
      <c r="F13" s="37">
        <f>ROUND(E13*(M$20/100),0)</f>
        <v>53</v>
      </c>
      <c r="G13" s="37"/>
      <c r="I13" s="4" t="s">
        <v>44</v>
      </c>
      <c r="J13" s="41">
        <v>217</v>
      </c>
      <c r="K13" s="4" t="s">
        <v>91</v>
      </c>
      <c r="L13" s="4">
        <v>96.6</v>
      </c>
      <c r="M13" s="4">
        <v>88.3</v>
      </c>
      <c r="N13" s="4">
        <v>92.9</v>
      </c>
      <c r="O13" s="42">
        <v>39662</v>
      </c>
    </row>
    <row r="14" spans="2:15" x14ac:dyDescent="0.3">
      <c r="C14" s="4" t="s">
        <v>73</v>
      </c>
      <c r="D14" s="38">
        <v>56.6</v>
      </c>
      <c r="E14" s="4">
        <v>84.8</v>
      </c>
      <c r="F14" s="37">
        <f>ROUND(E14*(M$20/100),0)</f>
        <v>74</v>
      </c>
      <c r="G14" s="37"/>
      <c r="I14" s="4" t="s">
        <v>44</v>
      </c>
      <c r="J14" s="41">
        <v>218</v>
      </c>
      <c r="K14" s="4" t="s">
        <v>92</v>
      </c>
      <c r="L14" s="4">
        <v>98.4</v>
      </c>
      <c r="M14" s="4">
        <v>68.8</v>
      </c>
      <c r="N14" s="4">
        <v>85.4</v>
      </c>
      <c r="O14" s="42">
        <v>30343</v>
      </c>
    </row>
    <row r="15" spans="2:15" x14ac:dyDescent="0.3">
      <c r="C15" s="4"/>
      <c r="D15" s="4"/>
      <c r="E15" s="4"/>
      <c r="I15" s="4" t="s">
        <v>44</v>
      </c>
      <c r="J15" s="41">
        <v>219</v>
      </c>
      <c r="K15" s="4" t="s">
        <v>93</v>
      </c>
      <c r="L15" s="4">
        <v>95.2</v>
      </c>
      <c r="M15" s="4">
        <v>86.8</v>
      </c>
      <c r="N15" s="4">
        <v>91.5</v>
      </c>
      <c r="O15" s="42">
        <v>15443</v>
      </c>
    </row>
    <row r="16" spans="2:15" x14ac:dyDescent="0.3">
      <c r="C16" s="39" t="s">
        <v>74</v>
      </c>
      <c r="D16" s="4"/>
      <c r="E16" s="4"/>
      <c r="I16" s="4" t="s">
        <v>48</v>
      </c>
      <c r="J16" s="41">
        <v>197</v>
      </c>
      <c r="K16" s="4" t="s">
        <v>94</v>
      </c>
      <c r="L16" s="4">
        <v>97.9</v>
      </c>
      <c r="M16" s="4">
        <v>111.9</v>
      </c>
      <c r="N16" s="4">
        <v>104.1</v>
      </c>
      <c r="O16" s="42">
        <v>31454</v>
      </c>
    </row>
    <row r="17" spans="6:15" x14ac:dyDescent="0.3">
      <c r="I17" s="4" t="s">
        <v>48</v>
      </c>
      <c r="J17" s="41">
        <v>198</v>
      </c>
      <c r="K17" s="4" t="s">
        <v>95</v>
      </c>
      <c r="L17" s="4">
        <v>97</v>
      </c>
      <c r="M17" s="4">
        <v>112</v>
      </c>
      <c r="N17" s="4">
        <v>103.6</v>
      </c>
      <c r="O17" s="42">
        <v>70851</v>
      </c>
    </row>
    <row r="18" spans="6:15" x14ac:dyDescent="0.3">
      <c r="I18" s="4" t="s">
        <v>48</v>
      </c>
      <c r="J18" s="41">
        <v>199</v>
      </c>
      <c r="K18" s="4" t="s">
        <v>96</v>
      </c>
      <c r="L18" s="4">
        <v>97.6</v>
      </c>
      <c r="M18" s="4">
        <v>112.1</v>
      </c>
      <c r="N18" s="4">
        <v>104</v>
      </c>
      <c r="O18" s="42">
        <v>36047</v>
      </c>
    </row>
    <row r="19" spans="6:15" x14ac:dyDescent="0.3">
      <c r="I19" s="4" t="s">
        <v>47</v>
      </c>
      <c r="J19" s="4" t="s">
        <v>97</v>
      </c>
      <c r="K19" s="4" t="s">
        <v>98</v>
      </c>
      <c r="L19" s="4">
        <v>100.2</v>
      </c>
      <c r="M19" s="4">
        <v>86.1</v>
      </c>
      <c r="N19" s="4">
        <v>94</v>
      </c>
      <c r="O19" s="42">
        <v>601723</v>
      </c>
    </row>
    <row r="20" spans="6:15" x14ac:dyDescent="0.3">
      <c r="I20" s="35" t="s">
        <v>99</v>
      </c>
      <c r="J20" s="4"/>
      <c r="K20" s="4"/>
      <c r="L20" s="43">
        <f>SUMPRODUCT(L6:L19,$O$6:$O$19)/SUM($O$6:$O$19)</f>
        <v>99.518640642488407</v>
      </c>
      <c r="M20" s="43">
        <f>SUMPRODUCT(M6:M19,$O$6:$O$19)/SUM($O$6:$O$19)</f>
        <v>87.529861307787684</v>
      </c>
      <c r="N20" s="43">
        <f>SUMPRODUCT(N6:N19,$O$6:$O$19)/SUM($O$6:$O$19)</f>
        <v>94.238134711839834</v>
      </c>
      <c r="O20" s="42"/>
    </row>
    <row r="21" spans="6:15" x14ac:dyDescent="0.3">
      <c r="I21" s="39" t="s">
        <v>74</v>
      </c>
      <c r="J21" s="4"/>
      <c r="K21" s="4"/>
      <c r="L21" s="4"/>
      <c r="M21" s="4"/>
      <c r="N21" s="4"/>
      <c r="O21" s="42" t="s">
        <v>50</v>
      </c>
    </row>
    <row r="25" spans="6:15" x14ac:dyDescent="0.3">
      <c r="F25" s="3"/>
      <c r="G2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O&amp;M_Calculations</vt:lpstr>
      <vt:lpstr>Conceptual Approach</vt:lpstr>
      <vt:lpstr>FormulaDetails</vt:lpstr>
      <vt:lpstr>Assumptions</vt:lpstr>
      <vt:lpstr>AnnualizedCostStart</vt:lpstr>
      <vt:lpstr>BldgLaborerWageRate</vt:lpstr>
      <vt:lpstr>'O&amp;M_Calculations'!DiscountRate</vt:lpstr>
      <vt:lpstr>ElectricianWageRate</vt:lpstr>
      <vt:lpstr>MaintenanceWageRate</vt:lpstr>
      <vt:lpstr>'O&amp;M_Calculations'!ProgramYear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Ringo</dc:creator>
  <cp:lastModifiedBy>Decker Ringo</cp:lastModifiedBy>
  <dcterms:created xsi:type="dcterms:W3CDTF">2018-04-12T04:33:45Z</dcterms:created>
  <dcterms:modified xsi:type="dcterms:W3CDTF">2018-04-30T05:58:59Z</dcterms:modified>
</cp:coreProperties>
</file>